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300" windowHeight="8730" activeTab="1"/>
  </bookViews>
  <sheets>
    <sheet name="ხელფასის უწყისი" sheetId="1" r:id="rId1"/>
    <sheet name="სხვა განაცემები" sheetId="4" r:id="rId2"/>
    <sheet name="სამუშაო რვეული" sheetId="2" r:id="rId3"/>
    <sheet name="დეკლარაცია" sheetId="3" r:id="rId4"/>
  </sheets>
  <calcPr calcId="144525"/>
</workbook>
</file>

<file path=xl/calcChain.xml><?xml version="1.0" encoding="utf-8"?>
<calcChain xmlns="http://schemas.openxmlformats.org/spreadsheetml/2006/main">
  <c r="F39" i="3" l="1"/>
  <c r="F32" i="3"/>
  <c r="F46" i="3"/>
  <c r="F40" i="3"/>
  <c r="Z14" i="4" l="1"/>
  <c r="AB9" i="4" l="1"/>
  <c r="K9" i="4"/>
  <c r="G16" i="2"/>
  <c r="G39" i="2" l="1"/>
  <c r="G242" i="2" l="1"/>
  <c r="G171" i="2"/>
  <c r="G150" i="2"/>
  <c r="F23" i="3" l="1"/>
  <c r="F29" i="3"/>
  <c r="F55" i="3" l="1"/>
  <c r="F43" i="3"/>
  <c r="G43" i="3" s="1"/>
  <c r="F35" i="3"/>
  <c r="F38" i="3"/>
  <c r="F42" i="3"/>
  <c r="F34" i="3"/>
  <c r="F19" i="3"/>
  <c r="F24" i="3"/>
  <c r="H16" i="3"/>
  <c r="F18" i="3" l="1"/>
  <c r="F9" i="3"/>
  <c r="G26" i="2" l="1"/>
  <c r="G249" i="2" l="1"/>
  <c r="G243" i="2"/>
  <c r="G231" i="2"/>
  <c r="G222" i="2"/>
  <c r="G227" i="2"/>
  <c r="G205" i="2"/>
  <c r="G206" i="2" s="1"/>
  <c r="G207" i="2" s="1"/>
  <c r="G201" i="2"/>
  <c r="G202" i="2" s="1"/>
  <c r="G181" i="2"/>
  <c r="G209" i="2"/>
  <c r="G210" i="2" s="1"/>
  <c r="G211" i="2" s="1"/>
  <c r="G195" i="2"/>
  <c r="G196" i="2" s="1"/>
  <c r="G192" i="2"/>
  <c r="G190" i="2"/>
  <c r="G177" i="2"/>
  <c r="G172" i="2"/>
  <c r="G156" i="2"/>
  <c r="G42" i="3" s="1"/>
  <c r="G161" i="2"/>
  <c r="G146" i="2"/>
  <c r="G133" i="2"/>
  <c r="G141" i="2"/>
  <c r="G40" i="3" s="1"/>
  <c r="G137" i="2"/>
  <c r="G135" i="2"/>
  <c r="G125" i="2"/>
  <c r="G124" i="2"/>
  <c r="G118" i="2"/>
  <c r="G120" i="2"/>
  <c r="G109" i="2"/>
  <c r="G103" i="2"/>
  <c r="G46" i="3" l="1"/>
  <c r="G9" i="3"/>
  <c r="G151" i="2"/>
  <c r="G41" i="3" s="1"/>
  <c r="F33" i="3"/>
  <c r="F41" i="3"/>
  <c r="G178" i="2"/>
  <c r="G11" i="3" s="1"/>
  <c r="F11" i="3"/>
  <c r="G126" i="2"/>
  <c r="G16" i="3" s="1"/>
  <c r="F15" i="3"/>
  <c r="F16" i="3"/>
  <c r="G29" i="3"/>
  <c r="G193" i="2"/>
  <c r="G10" i="3" s="1"/>
  <c r="F10" i="3"/>
  <c r="G232" i="2"/>
  <c r="G12" i="3" s="1"/>
  <c r="F12" i="3"/>
  <c r="G203" i="2"/>
  <c r="I8" i="1"/>
  <c r="I10" i="1"/>
  <c r="I14" i="1"/>
  <c r="Y14" i="4"/>
  <c r="AB14" i="4"/>
  <c r="V14" i="4"/>
  <c r="R8" i="4"/>
  <c r="D9" i="1" s="1"/>
  <c r="E9" i="1" s="1"/>
  <c r="R9" i="4"/>
  <c r="D10" i="1" s="1"/>
  <c r="E10" i="1" s="1"/>
  <c r="G10" i="1" s="1"/>
  <c r="R13" i="4"/>
  <c r="D14" i="1" s="1"/>
  <c r="E14" i="1" s="1"/>
  <c r="G14" i="1" s="1"/>
  <c r="D14" i="4"/>
  <c r="E14" i="4"/>
  <c r="H14" i="4"/>
  <c r="K14" i="4"/>
  <c r="O14" i="4"/>
  <c r="P14" i="4"/>
  <c r="C14" i="4"/>
  <c r="X5" i="4"/>
  <c r="Y5" i="4" s="1"/>
  <c r="W5" i="4"/>
  <c r="D5" i="4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C5" i="4"/>
  <c r="AD6" i="4"/>
  <c r="AD7" i="4" s="1"/>
  <c r="AD8" i="4" s="1"/>
  <c r="AD9" i="4" s="1"/>
  <c r="AD10" i="4" s="1"/>
  <c r="AD11" i="4" s="1"/>
  <c r="AD12" i="4" s="1"/>
  <c r="AD13" i="4" s="1"/>
  <c r="AH13" i="4" s="1"/>
  <c r="J14" i="1" s="1"/>
  <c r="AA8" i="4"/>
  <c r="AA9" i="4"/>
  <c r="AA11" i="4"/>
  <c r="AA12" i="4"/>
  <c r="AA13" i="4"/>
  <c r="G49" i="2"/>
  <c r="G46" i="2"/>
  <c r="J7" i="4" s="1"/>
  <c r="AA7" i="4" s="1"/>
  <c r="G33" i="2"/>
  <c r="G22" i="2"/>
  <c r="G90" i="2"/>
  <c r="Q11" i="4" s="1"/>
  <c r="Q14" i="4" s="1"/>
  <c r="AC10" i="4"/>
  <c r="J10" i="4"/>
  <c r="AA10" i="4" s="1"/>
  <c r="AF8" i="4"/>
  <c r="AF14" i="4" s="1"/>
  <c r="AC8" i="4"/>
  <c r="G82" i="2"/>
  <c r="AH5" i="4" l="1"/>
  <c r="Z5" i="4"/>
  <c r="AA5" i="4" s="1"/>
  <c r="AB5" i="4" s="1"/>
  <c r="AC5" i="4" s="1"/>
  <c r="AD5" i="4" s="1"/>
  <c r="AE5" i="4" s="1"/>
  <c r="AF5" i="4" s="1"/>
  <c r="AG5" i="4" s="1"/>
  <c r="G9" i="1"/>
  <c r="H9" i="1" s="1"/>
  <c r="I9" i="1" s="1"/>
  <c r="AH8" i="4"/>
  <c r="J9" i="1" s="1"/>
  <c r="K14" i="1"/>
  <c r="L14" i="1" s="1"/>
  <c r="AA14" i="4"/>
  <c r="J14" i="4"/>
  <c r="AC14" i="4"/>
  <c r="AH11" i="4"/>
  <c r="J12" i="1" s="1"/>
  <c r="AD14" i="4"/>
  <c r="AH9" i="4"/>
  <c r="J10" i="1" s="1"/>
  <c r="G76" i="2"/>
  <c r="N7" i="4" s="1"/>
  <c r="N14" i="4" s="1"/>
  <c r="G70" i="2"/>
  <c r="M6" i="4" s="1"/>
  <c r="M14" i="4" s="1"/>
  <c r="G61" i="2"/>
  <c r="L10" i="4" s="1"/>
  <c r="L14" i="4" s="1"/>
  <c r="G56" i="2"/>
  <c r="G55" i="2"/>
  <c r="G38" i="2"/>
  <c r="G27" i="2"/>
  <c r="G28" i="2" s="1"/>
  <c r="I6" i="4" s="1"/>
  <c r="G32" i="2"/>
  <c r="G34" i="2" s="1"/>
  <c r="G100" i="2"/>
  <c r="G9" i="2"/>
  <c r="K9" i="1" l="1"/>
  <c r="L9" i="1" s="1"/>
  <c r="G11" i="2"/>
  <c r="G101" i="2"/>
  <c r="G14" i="3" s="1"/>
  <c r="F14" i="3"/>
  <c r="F13" i="3"/>
  <c r="K10" i="1"/>
  <c r="L10" i="1" s="1"/>
  <c r="R7" i="4"/>
  <c r="D8" i="1" s="1"/>
  <c r="E8" i="1" s="1"/>
  <c r="G8" i="1" s="1"/>
  <c r="G6" i="4"/>
  <c r="G17" i="2"/>
  <c r="X6" i="4" s="1"/>
  <c r="G77" i="2"/>
  <c r="AE7" i="4" s="1"/>
  <c r="I11" i="4"/>
  <c r="R11" i="4" s="1"/>
  <c r="D12" i="1" s="1"/>
  <c r="E12" i="1" s="1"/>
  <c r="G40" i="2"/>
  <c r="G41" i="2" s="1"/>
  <c r="G10" i="2"/>
  <c r="F60" i="3"/>
  <c r="G106" i="2"/>
  <c r="C15" i="1"/>
  <c r="I10" i="4" l="1"/>
  <c r="R10" i="4" s="1"/>
  <c r="D11" i="1" s="1"/>
  <c r="E11" i="1" s="1"/>
  <c r="G94" i="2" s="1"/>
  <c r="G95" i="2" s="1"/>
  <c r="G96" i="2" s="1"/>
  <c r="AG10" i="4" s="1"/>
  <c r="G42" i="2"/>
  <c r="G107" i="2"/>
  <c r="F37" i="3"/>
  <c r="F31" i="3" s="1"/>
  <c r="F45" i="3"/>
  <c r="R6" i="4"/>
  <c r="G14" i="4"/>
  <c r="H12" i="1"/>
  <c r="I12" i="1" s="1"/>
  <c r="K12" i="1" s="1"/>
  <c r="L12" i="1" s="1"/>
  <c r="AH6" i="4"/>
  <c r="X14" i="4"/>
  <c r="AE14" i="4"/>
  <c r="AH7" i="4"/>
  <c r="J8" i="1" s="1"/>
  <c r="G12" i="2"/>
  <c r="H10" i="2"/>
  <c r="F12" i="4" s="1"/>
  <c r="I14" i="4" l="1"/>
  <c r="AG14" i="4"/>
  <c r="AH10" i="4"/>
  <c r="J11" i="1" s="1"/>
  <c r="G45" i="3"/>
  <c r="G47" i="3" s="1"/>
  <c r="K8" i="1"/>
  <c r="L8" i="1" s="1"/>
  <c r="W12" i="4"/>
  <c r="R12" i="4"/>
  <c r="D13" i="1" s="1"/>
  <c r="E13" i="1" s="1"/>
  <c r="F14" i="4"/>
  <c r="J7" i="1"/>
  <c r="D7" i="1"/>
  <c r="H11" i="1"/>
  <c r="I11" i="1" s="1"/>
  <c r="R14" i="4" l="1"/>
  <c r="K11" i="1"/>
  <c r="L11" i="1" s="1"/>
  <c r="H13" i="1"/>
  <c r="I13" i="1" s="1"/>
  <c r="E7" i="1"/>
  <c r="E15" i="1" s="1"/>
  <c r="D15" i="1"/>
  <c r="AH12" i="4"/>
  <c r="W14" i="4"/>
  <c r="F7" i="3" l="1"/>
  <c r="G7" i="1"/>
  <c r="H7" i="1" s="1"/>
  <c r="J13" i="1"/>
  <c r="J15" i="1" s="1"/>
  <c r="AH14" i="4"/>
  <c r="G15" i="1" l="1"/>
  <c r="K13" i="1"/>
  <c r="L13" i="1" s="1"/>
  <c r="I7" i="1"/>
  <c r="K7" i="1" s="1"/>
  <c r="H15" i="1"/>
  <c r="F8" i="3" l="1"/>
  <c r="I15" i="1"/>
  <c r="G8" i="3" l="1"/>
  <c r="G30" i="3" s="1"/>
  <c r="G48" i="3" s="1"/>
  <c r="K15" i="1"/>
  <c r="L15" i="1" s="1"/>
  <c r="L7" i="1"/>
</calcChain>
</file>

<file path=xl/sharedStrings.xml><?xml version="1.0" encoding="utf-8"?>
<sst xmlns="http://schemas.openxmlformats.org/spreadsheetml/2006/main" count="722" uniqueCount="337">
  <si>
    <t>#</t>
  </si>
  <si>
    <t>gvari, saxeli</t>
  </si>
  <si>
    <t>daricxulia xelfasi</t>
  </si>
  <si>
    <t>daricxulia sxva  sargebeli</t>
  </si>
  <si>
    <t>daricxulia sul (3+4)</t>
  </si>
  <si>
    <t>daricxulia saangariSo periodamde</t>
  </si>
  <si>
    <t>dakavebulia winaswar gadaxdili Tanxa</t>
  </si>
  <si>
    <t>dakavebulia sul (7+9+10)</t>
  </si>
  <si>
    <t>ხელფასის დარიცხვის უწყისი N 2</t>
  </si>
  <si>
    <t>დაგროვილი ქულა</t>
  </si>
  <si>
    <t>შემოსავალი</t>
  </si>
  <si>
    <t>გადასახადი და გაკავება</t>
  </si>
  <si>
    <t>სულ</t>
  </si>
  <si>
    <r>
      <t>saSemosavlo gadasaxadiT dasabegri Semosavali</t>
    </r>
    <r>
      <rPr>
        <u/>
        <sz val="9"/>
        <color rgb="FF008080"/>
        <rFont val="AcadNusx"/>
      </rPr>
      <t xml:space="preserve"> (3.1)</t>
    </r>
  </si>
  <si>
    <r>
      <t>dakavebuli sapensio Senatani</t>
    </r>
    <r>
      <rPr>
        <u/>
        <sz val="9"/>
        <color rgb="FF008080"/>
        <rFont val="AcadNusx"/>
      </rPr>
      <t xml:space="preserve"> (3.3)</t>
    </r>
  </si>
  <si>
    <r>
      <t>dakavebuli saSemosavlo gadasaxadi</t>
    </r>
    <r>
      <rPr>
        <u/>
        <sz val="9"/>
        <color rgb="FF008080"/>
        <rFont val="AcadNusx"/>
      </rPr>
      <t xml:space="preserve"> (3.2)</t>
    </r>
  </si>
  <si>
    <t>ჯამი</t>
  </si>
  <si>
    <t>თ. ჟღენტი</t>
  </si>
  <si>
    <t>ზ. ბუჩუკური</t>
  </si>
  <si>
    <t>სარგებელი</t>
  </si>
  <si>
    <t>ლ. ნანსყანი</t>
  </si>
  <si>
    <t>ი. დვალი</t>
  </si>
  <si>
    <t>ე. ლომიძე</t>
  </si>
  <si>
    <t>კ. გოგავა</t>
  </si>
  <si>
    <t>შენიშვნა:</t>
  </si>
  <si>
    <t>გაანგარიშება</t>
  </si>
  <si>
    <t>მაჩვენებელი</t>
  </si>
  <si>
    <t>სწორი პასუხი</t>
  </si>
  <si>
    <t>შეფასება</t>
  </si>
  <si>
    <t>საშემოსავლო გადასახადი</t>
  </si>
  <si>
    <t>მივლინების ფაქტიური ხარჯი</t>
  </si>
  <si>
    <t>რეზიდენტ ფიზიკური პირი</t>
  </si>
  <si>
    <t>რეზიდენტ იურიდიული პირი</t>
  </si>
  <si>
    <t>არარეზიდენტ იურიდიული პირი (ლიბანი)</t>
  </si>
  <si>
    <t>არარეზიდენტი ფიზიკური პირი (პანამა)</t>
  </si>
  <si>
    <r>
      <t xml:space="preserve">ამოცანა N 1.   </t>
    </r>
    <r>
      <rPr>
        <b/>
        <u/>
        <sz val="10"/>
        <color rgb="FF008080"/>
        <rFont val="Sylfaen"/>
        <family val="1"/>
      </rPr>
      <t>გადახდის</t>
    </r>
    <r>
      <rPr>
        <b/>
        <u/>
        <sz val="10"/>
        <color rgb="FF008080"/>
        <rFont val="LitMtavrPS"/>
      </rPr>
      <t xml:space="preserve"> </t>
    </r>
    <r>
      <rPr>
        <b/>
        <u/>
        <sz val="10"/>
        <color rgb="FF008080"/>
        <rFont val="Sylfaen"/>
        <family val="1"/>
      </rPr>
      <t>წყაროსთან</t>
    </r>
    <r>
      <rPr>
        <b/>
        <u/>
        <sz val="10"/>
        <color rgb="FF008080"/>
        <rFont val="LitMtavrPS"/>
      </rPr>
      <t xml:space="preserve"> </t>
    </r>
    <r>
      <rPr>
        <b/>
        <u/>
        <sz val="10"/>
        <color rgb="FF008080"/>
        <rFont val="Sylfaen"/>
        <family val="1"/>
      </rPr>
      <t>დაკავებული</t>
    </r>
    <r>
      <rPr>
        <b/>
        <u/>
        <sz val="10"/>
        <color rgb="FF008080"/>
        <rFont val="LitMtavrPS"/>
      </rPr>
      <t xml:space="preserve"> </t>
    </r>
    <r>
      <rPr>
        <b/>
        <u/>
        <sz val="10"/>
        <color rgb="FF008080"/>
        <rFont val="Sylfaen"/>
        <family val="1"/>
      </rPr>
      <t>გადასახადის  დეკლარაცია</t>
    </r>
    <r>
      <rPr>
        <b/>
        <u/>
        <sz val="10"/>
        <color rgb="FF008080"/>
        <rFont val="LitMtavrPS"/>
      </rPr>
      <t xml:space="preserve"> </t>
    </r>
  </si>
  <si>
    <t xml:space="preserve"> </t>
  </si>
  <si>
    <r>
      <t xml:space="preserve">nawili III </t>
    </r>
    <r>
      <rPr>
        <u/>
        <sz val="9"/>
        <color rgb="FF008080"/>
        <rFont val="LitNusx"/>
      </rPr>
      <t>(adaptirebulia gamocdisTvis)</t>
    </r>
    <r>
      <rPr>
        <b/>
        <u/>
        <sz val="9"/>
        <color rgb="FF008080"/>
        <rFont val="Calibri"/>
        <family val="2"/>
        <scheme val="minor"/>
      </rPr>
      <t xml:space="preserve"> </t>
    </r>
  </si>
  <si>
    <t>ganacemis</t>
  </si>
  <si>
    <t xml:space="preserve">sul biujetSi gadasaxdeli wyarosTan dakavebuli gadasaxadebis jami (str.39 + str.56) </t>
  </si>
  <si>
    <t>naRdi angariSsworebiT ganxorcielebuli brunva. maT Soris: sakontrolo salaro aparatebis saSualebiT</t>
  </si>
  <si>
    <t xml:space="preserve">gadasaxadis gadamxdelis mowmobis armqone fizikur pirebze gadaxdis wyarosTan dabegvras დაქვემდებარებული განაცემი (გარდა პროცენტისა) </t>
  </si>
  <si>
    <t>`d~ qvepunqtis (navTobi da gazi...) mixedviT (4%-iani) განაკვეთით</t>
  </si>
  <si>
    <t>`e~ qvepunqtis (sxvadasxva) mixedviT (105-იანი განაკვეთით</t>
  </si>
  <si>
    <t>`e~ qvepunqtis (sxvadasxva) mixedviT( 10-%-იანი განაკვეთით)</t>
  </si>
  <si>
    <t xml:space="preserve"> organizaciebze და საქართველოში მუდმივი დაწესებულების აrმქონე არარეზიდენტ საწარმოsaTvis dakavebuli biujetSi gadasaxdeli gadasaxadi (49-e - 55-e ujrebSi asaxuli Tanxebis  Sesabamis sagadasaxado ganakveTebze namravlis jami) </t>
  </si>
  <si>
    <t>fizikur pirTa ricxovnoba, romlebzec gacemulia me-16 ujraSi asaxuli Tanxa</t>
  </si>
  <si>
    <t>საკონტროლო სალარო აპარატების საშუალებებით</t>
  </si>
  <si>
    <t>10000*5%=500</t>
  </si>
  <si>
    <t>30000*5%=1500</t>
  </si>
  <si>
    <r>
      <t>eqvemdebareba xelze gacemas (5-7-11)</t>
    </r>
    <r>
      <rPr>
        <u/>
        <sz val="9"/>
        <color rgb="FF008080"/>
        <rFont val="AcadNusx"/>
      </rPr>
      <t xml:space="preserve"> (3.2)</t>
    </r>
  </si>
  <si>
    <t>Y</t>
  </si>
  <si>
    <t>3000*20%=600</t>
  </si>
  <si>
    <t>თითოეული დაქირავებული პირის შემოსავლისა და დაკავებული თანხების (ხელზე გაცემის)  სწორი ქულა ფასდება 0.5 ქულით. ჯამში 7 ქულა</t>
  </si>
  <si>
    <t>დანამატი</t>
  </si>
  <si>
    <t>პრემია</t>
  </si>
  <si>
    <t>დაკავება</t>
  </si>
  <si>
    <t>ზეგანაკვეთური სამუშაო</t>
  </si>
  <si>
    <r>
      <rPr>
        <b/>
        <sz val="11"/>
        <color theme="1"/>
        <rFont val="Times New Roman"/>
        <family val="1"/>
      </rPr>
      <t>1.3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Sylfaen"/>
        <family val="1"/>
      </rPr>
      <t>განსაზღვრეთ დაქირავებული პირის სარგებელი და გადაიტანეთ მონაცემები ხელფასის დარიცხვის უწყისში (ვალის პატიება ლ. ნანსყანი)</t>
    </r>
  </si>
  <si>
    <t>ძირითადი თანხა 2000</t>
  </si>
  <si>
    <t>დარიცხული პროცენტი 2000*20%*=400</t>
  </si>
  <si>
    <t>სულ სარგებელი</t>
  </si>
  <si>
    <t>ბრძანება #34</t>
  </si>
  <si>
    <t>1.4. უპროცენტო სესხის მიღებით  მიღებული ყოველთვიური სარგებელი (თ.ჟღენტი)</t>
  </si>
  <si>
    <t>უპროცენტო სესხი</t>
  </si>
  <si>
    <t>საჩუქარი (ბრელოკი</t>
  </si>
  <si>
    <t>მივლინების ნორმატიული ხარჯი</t>
  </si>
  <si>
    <t>მგზავრობა 65+35=100 სასტუმროს ხარჯი- 1000 სადღეღამისო ხარჯი 20*15=300</t>
  </si>
  <si>
    <t>მივლინება</t>
  </si>
  <si>
    <t>ვალის  პატიება</t>
  </si>
  <si>
    <t>სხვა შემოსავალი (სარგებელი)</t>
  </si>
  <si>
    <t xml:space="preserve"> მგზავრობა 61+1+5+100=167    სასტუმროს ხარჯები - 1008            სადღეღამისო ხარჯი 20*15=300</t>
  </si>
  <si>
    <t>1.5. საჩუქარი (ყველა თანამშრომელზე)</t>
  </si>
  <si>
    <t>საჩუქარი 10</t>
  </si>
  <si>
    <t>სარგებელი €</t>
  </si>
  <si>
    <t>ზენორმატიული ხარჯი ლარი 769*3,5</t>
  </si>
  <si>
    <t>სარგებელი ლარი</t>
  </si>
  <si>
    <t>კომპლექსური სადილი</t>
  </si>
  <si>
    <t>სადაზღვევო შენატანი</t>
  </si>
  <si>
    <t>დაკავებულია ე.ლომიძის ხელფასიდან</t>
  </si>
  <si>
    <t>1.11 სწავლის ღირებულება (ე.ლომიძე)</t>
  </si>
  <si>
    <t>დაკავებულია გადარიცხული თანხა ხელფასიდან</t>
  </si>
  <si>
    <t>სწავლის ღირებულება</t>
  </si>
  <si>
    <t>სწავლის ღირებულება 200/0,8=250</t>
  </si>
  <si>
    <t>ნ. შადური</t>
  </si>
  <si>
    <t>1.12 სწავლის ღირებულება (მ. შადური)</t>
  </si>
  <si>
    <t>დასვენების ტური</t>
  </si>
  <si>
    <t>1.13 დასვენების ტური (ყველა თანამშრომელი)</t>
  </si>
  <si>
    <t>დაკავებულია  ხელფასიდან</t>
  </si>
  <si>
    <t>თებერვლის სესხი</t>
  </si>
  <si>
    <t>უპროცენტო  და დაბალპროცენტიანი სესხი</t>
  </si>
  <si>
    <t>თებერვლის პროცენტის  სარგებელი 10000*(20%-12%)/365*15 დღე=32,88</t>
  </si>
  <si>
    <t>1.15 საცხოვრებელი ფართის სარგებლობაში გადაცემა ( ნ.შადური)</t>
  </si>
  <si>
    <t>საცხოვრებელი ფართის გადაცემა</t>
  </si>
  <si>
    <t>თ. ჩადუნელი</t>
  </si>
  <si>
    <t>1.16 შვებულება ბავშვის აყვანის გამო (თ. ჩადუნელი)</t>
  </si>
  <si>
    <t>1.17 ავანსად ხელფასის გაცემა (თ. დვალი)</t>
  </si>
  <si>
    <t>ავანსი</t>
  </si>
  <si>
    <t>ალიმენტი</t>
  </si>
  <si>
    <t>დასაკავებელია დარიცხული თანხიდან</t>
  </si>
  <si>
    <t>მგზავრობა 61+1=62 სასტუმროს ხარჯი- 1008 სადღეღამისო ხარჯი 20*15=300</t>
  </si>
  <si>
    <t>თ.ჟღენტი, ი.დვალი, თ ჩადუნელი</t>
  </si>
  <si>
    <t>ე.ლომიძე *5=30</t>
  </si>
  <si>
    <t>ზ. ბუჩუკური, ნ ხადური, კ.გოგავა,  ლ. ნანსყანი 20*5*4=100</t>
  </si>
  <si>
    <t xml:space="preserve"> დაკავება</t>
  </si>
  <si>
    <t>თ.ჟღენტი, ი.დვალი, თ. ჩადუნელი</t>
  </si>
  <si>
    <t>2 დღის სარგებელი 100*0,8*2=250</t>
  </si>
  <si>
    <t>დაკავებულია დარიცხული თანხიდან</t>
  </si>
  <si>
    <t>შვებულება შვილს აყვანის გამო</t>
  </si>
  <si>
    <t>1700*3/,08=5100</t>
  </si>
  <si>
    <t>1.18 ალიმენტის დაკავება ე.ლომიძე</t>
  </si>
  <si>
    <t>სესხის თებერვლის პროცენტი</t>
  </si>
  <si>
    <t>ა.ა.ი.პ</t>
  </si>
  <si>
    <t>20000*5%=1000</t>
  </si>
  <si>
    <t>2.1  დევიდენდის განაწილება და დაბეგვრა</t>
  </si>
  <si>
    <t>30000*15%=1500</t>
  </si>
  <si>
    <t>არარეზიდენტი ფიზიკური პირი (ავსტრია)</t>
  </si>
  <si>
    <t>არარეზიდენტი ფიზიკური პირი (ლიბანი-შეღავათიანი დაბეგვრის ქვეყანა)</t>
  </si>
  <si>
    <t>არარეზიდენტი იურიდიული პირი (რუსეთი)</t>
  </si>
  <si>
    <t>15000*0%=0</t>
  </si>
  <si>
    <t>12000*5%=600</t>
  </si>
  <si>
    <t>ს/ს "ასფარმა"-ს მუდმივი დაწესებულება საქართველოში</t>
  </si>
  <si>
    <t>ს/ს საქართველოს ბანკი</t>
  </si>
  <si>
    <t>მოგების/საშემოსავლო გადასახადი</t>
  </si>
  <si>
    <t>3500*0%=0</t>
  </si>
  <si>
    <t>1000*0%=0</t>
  </si>
  <si>
    <t>მიკროსაფინანსო ორგანიზაცია "ცენტრალი"</t>
  </si>
  <si>
    <t>ჩიორა მხეიძე 10000*12%/12*6=600</t>
  </si>
  <si>
    <t>600*5%=30</t>
  </si>
  <si>
    <t>2.2  პროცენტის გადარიცხვა და დაბეგვრა</t>
  </si>
  <si>
    <t>საქართველოს იურიდიული პირი</t>
  </si>
  <si>
    <t>5500*0%=0</t>
  </si>
  <si>
    <t>არარეგისტრირებული საქართველოს მოქალაქე</t>
  </si>
  <si>
    <t>1000*20%=200</t>
  </si>
  <si>
    <t>/საშემოსავლო გადასახადი</t>
  </si>
  <si>
    <t>5000*0%=0</t>
  </si>
  <si>
    <t>არარეზიდენტი ფიზიკური პირი (იტალია)</t>
  </si>
  <si>
    <t>2.3  როიალტის გადარიცხვა და დაბეგვრა</t>
  </si>
  <si>
    <t>2.4 საერთაშორისო გადაზიდვა (ჯონ მარიუსი) შეღავათიანი დაბეგვრის ქვეყანა</t>
  </si>
  <si>
    <t>ჯონ მარიუსი 5000</t>
  </si>
  <si>
    <t>5000*10%=500</t>
  </si>
  <si>
    <t>0*10%=0</t>
  </si>
  <si>
    <t>საკონსულტაციო მომსახურება</t>
  </si>
  <si>
    <t>15000*5%*0%=0</t>
  </si>
  <si>
    <t>8500*4%=850</t>
  </si>
  <si>
    <t>2.5 საერთაშორისო გადაზიდვა (UST LTD) შეღავათიანი დაბეგვრის ქვეყანა</t>
  </si>
  <si>
    <t xml:space="preserve">2.6 საკონსულტაციო  მომსახურების ანაზღაურება-(საფრანგეთის ფირმა"ფრანსუა მორენო") "ნავთობისა და გაზის შესახებ კანონით-4%
</t>
  </si>
  <si>
    <t>2.7  პროცენტის გადარიცხვა და დაბეგვრა (უნგრეთის ფირმა "ბოლერო")</t>
  </si>
  <si>
    <t>ფირმა "ბოლერო"</t>
  </si>
  <si>
    <t>2.8 საერთაშორისო გადაზიდვა (ფირმა"ყარფუზ პროჟექტს")</t>
  </si>
  <si>
    <t>2.9 ტრენინგის მომსახურება (ფირმა "ერნესტო კამარონე")</t>
  </si>
  <si>
    <t>10000*5%=1000</t>
  </si>
  <si>
    <t>1500*20%=300</t>
  </si>
  <si>
    <t>0*20%=0</t>
  </si>
  <si>
    <t>500*0%*20%=0</t>
  </si>
  <si>
    <t>იბეგრება მოგების გადასახადით</t>
  </si>
  <si>
    <t>1875*20%=600</t>
  </si>
  <si>
    <t>2.10 ფიზიკური პირების მომსახურება (პირები არ არიან საპენსიო სქემის მონაწილეები)</t>
  </si>
  <si>
    <t>2.11 ფიზიკური პირების მომსახურება (პირები  არიან საპენსიო სქემის მონაწილეები)</t>
  </si>
  <si>
    <t>1913,27*2%=38,27</t>
  </si>
  <si>
    <t xml:space="preserve"> 892,86*2%=1786</t>
  </si>
  <si>
    <t>ანარიცხი საპენსიო ფონდში</t>
  </si>
  <si>
    <t>2933,67*2%=58,67</t>
  </si>
  <si>
    <t>(892,86-17,86)*20%=175</t>
  </si>
  <si>
    <t>(2933,67-58,67)*20%=575</t>
  </si>
  <si>
    <t>500*0%=0</t>
  </si>
  <si>
    <t>1700*20%340</t>
  </si>
  <si>
    <t>1250*20%=250</t>
  </si>
  <si>
    <t>მ.სანაკოევი 700+250=950</t>
  </si>
  <si>
    <t xml:space="preserve">2.13 უსასყიდლოდ ქონების გადაცემა </t>
  </si>
  <si>
    <t>2075*20%=415</t>
  </si>
  <si>
    <t>2.14  ზიანის ანაზღაურება</t>
  </si>
  <si>
    <t>ამოცანა #1</t>
  </si>
  <si>
    <t>ყურადღება: შეფასებას ექვემდებარება "სწორი პასუხი"-ს სვეტში მითითებული თანხა</t>
  </si>
  <si>
    <t>1.14 შუა თვეში სესხის გაცემა (ზ.ბუჩუკური)</t>
  </si>
  <si>
    <t>საშემოსავლო ადასახადი</t>
  </si>
  <si>
    <t>არარეზიდენტი ფიზიკური პირი (აშშ-ის ვირჯინიის კუნძულები-შეღავათიანი დაბეგვრის ქვეყანა)</t>
  </si>
  <si>
    <t xml:space="preserve"> თებერვლის დასაბეგრი სარგებელი 0. თანხა გადარიცხულია 15 მარტს</t>
  </si>
  <si>
    <t>202X წლის  თებერვალი</t>
  </si>
  <si>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Sylfaen"/>
        <family val="1"/>
      </rPr>
      <t>1.6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Sylfaen"/>
        <family val="1"/>
      </rPr>
      <t>განსაზღვრეთ</t>
    </r>
    <r>
      <rPr>
        <b/>
        <sz val="10"/>
        <color theme="1"/>
        <rFont val="ArialUnicodeMS"/>
      </rPr>
      <t xml:space="preserve"> </t>
    </r>
    <r>
      <rPr>
        <b/>
        <sz val="10"/>
        <color theme="1"/>
        <rFont val="Sylfaen"/>
        <family val="1"/>
      </rPr>
      <t>ამ</t>
    </r>
    <r>
      <rPr>
        <b/>
        <sz val="10"/>
        <color theme="1"/>
        <rFont val="ArialUnicodeMS"/>
      </rPr>
      <t xml:space="preserve"> </t>
    </r>
    <r>
      <rPr>
        <b/>
        <sz val="10"/>
        <color theme="1"/>
        <rFont val="Sylfaen"/>
        <family val="1"/>
      </rPr>
      <t>ოპერაციის</t>
    </r>
    <r>
      <rPr>
        <b/>
        <sz val="10"/>
        <color theme="1"/>
        <rFont val="ArialUnicodeMS"/>
      </rPr>
      <t xml:space="preserve"> </t>
    </r>
    <r>
      <rPr>
        <b/>
        <sz val="10"/>
        <color theme="1"/>
        <rFont val="Sylfaen"/>
        <family val="1"/>
      </rPr>
      <t>შედეგად</t>
    </r>
    <r>
      <rPr>
        <b/>
        <sz val="10"/>
        <color theme="1"/>
        <rFont val="ArialUnicodeMS"/>
      </rPr>
      <t xml:space="preserve"> (</t>
    </r>
    <r>
      <rPr>
        <b/>
        <sz val="10"/>
        <color theme="1"/>
        <rFont val="Sylfaen"/>
        <family val="1"/>
      </rPr>
      <t>თ</t>
    </r>
    <r>
      <rPr>
        <b/>
        <sz val="10"/>
        <color theme="1"/>
        <rFont val="ArialUnicodeMS"/>
      </rPr>
      <t xml:space="preserve">. </t>
    </r>
    <r>
      <rPr>
        <b/>
        <sz val="10"/>
        <color theme="1"/>
        <rFont val="Sylfaen"/>
        <family val="1"/>
      </rPr>
      <t>ჟღენტი)</t>
    </r>
    <r>
      <rPr>
        <b/>
        <sz val="10"/>
        <color theme="1"/>
        <rFont val="ArialUnicodeMS"/>
      </rPr>
      <t xml:space="preserve">  </t>
    </r>
    <r>
      <rPr>
        <b/>
        <sz val="10"/>
        <color theme="1"/>
        <rFont val="Sylfaen"/>
        <family val="1"/>
      </rPr>
      <t>მიღებული</t>
    </r>
    <r>
      <rPr>
        <b/>
        <sz val="10"/>
        <color theme="1"/>
        <rFont val="ArialUnicodeMS"/>
      </rPr>
      <t xml:space="preserve"> </t>
    </r>
    <r>
      <rPr>
        <b/>
        <sz val="10"/>
        <color theme="1"/>
        <rFont val="Sylfaen"/>
        <family val="1"/>
      </rPr>
      <t>სარგებელი</t>
    </r>
    <r>
      <rPr>
        <b/>
        <sz val="10"/>
        <color theme="1"/>
        <rFont val="ArialUnicodeMS"/>
      </rPr>
      <t xml:space="preserve"> </t>
    </r>
    <r>
      <rPr>
        <b/>
        <sz val="10"/>
        <color theme="1"/>
        <rFont val="Sylfaen"/>
        <family val="1"/>
      </rPr>
      <t>და გადაიტანეთ მონაცემები ხელფასის დარიცხვის უწყისში (მივლინება სვანეთში)</t>
    </r>
  </si>
  <si>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Sylfaen"/>
        <family val="1"/>
      </rPr>
      <t>1.7.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Sylfaen"/>
        <family val="1"/>
      </rPr>
      <t>განსაზღვრეთ</t>
    </r>
    <r>
      <rPr>
        <b/>
        <sz val="10"/>
        <color theme="1"/>
        <rFont val="ArialUnicodeMS"/>
      </rPr>
      <t xml:space="preserve"> </t>
    </r>
    <r>
      <rPr>
        <b/>
        <sz val="10"/>
        <color theme="1"/>
        <rFont val="Sylfaen"/>
        <family val="1"/>
      </rPr>
      <t>ამ</t>
    </r>
    <r>
      <rPr>
        <b/>
        <sz val="10"/>
        <color theme="1"/>
        <rFont val="ArialUnicodeMS"/>
      </rPr>
      <t xml:space="preserve"> </t>
    </r>
    <r>
      <rPr>
        <b/>
        <sz val="10"/>
        <color theme="1"/>
        <rFont val="Sylfaen"/>
        <family val="1"/>
      </rPr>
      <t>ოპერაციის</t>
    </r>
    <r>
      <rPr>
        <b/>
        <sz val="10"/>
        <color theme="1"/>
        <rFont val="ArialUnicodeMS"/>
      </rPr>
      <t xml:space="preserve"> </t>
    </r>
    <r>
      <rPr>
        <b/>
        <sz val="10"/>
        <color theme="1"/>
        <rFont val="Sylfaen"/>
        <family val="1"/>
      </rPr>
      <t>შედეგად</t>
    </r>
    <r>
      <rPr>
        <b/>
        <sz val="10"/>
        <color theme="1"/>
        <rFont val="ArialUnicodeMS"/>
      </rPr>
      <t xml:space="preserve"> (</t>
    </r>
    <r>
      <rPr>
        <b/>
        <sz val="10"/>
        <color theme="1"/>
        <rFont val="Sylfaen"/>
        <family val="1"/>
      </rPr>
      <t>ი.დვალი)</t>
    </r>
    <r>
      <rPr>
        <b/>
        <sz val="10"/>
        <color theme="1"/>
        <rFont val="ArialUnicodeMS"/>
      </rPr>
      <t xml:space="preserve">  </t>
    </r>
    <r>
      <rPr>
        <b/>
        <sz val="10"/>
        <color theme="1"/>
        <rFont val="Sylfaen"/>
        <family val="1"/>
      </rPr>
      <t>მიღებული</t>
    </r>
    <r>
      <rPr>
        <b/>
        <sz val="10"/>
        <color theme="1"/>
        <rFont val="ArialUnicodeMS"/>
      </rPr>
      <t xml:space="preserve"> </t>
    </r>
    <r>
      <rPr>
        <b/>
        <sz val="10"/>
        <color theme="1"/>
        <rFont val="Sylfaen"/>
        <family val="1"/>
      </rPr>
      <t>სარგებელი</t>
    </r>
    <r>
      <rPr>
        <b/>
        <sz val="10"/>
        <color theme="1"/>
        <rFont val="ArialUnicodeMS"/>
      </rPr>
      <t xml:space="preserve"> </t>
    </r>
    <r>
      <rPr>
        <b/>
        <sz val="10"/>
        <color theme="1"/>
        <rFont val="Sylfaen"/>
        <family val="1"/>
      </rPr>
      <t>და გადაიტანეთ მონაცემები ხელფასის დარიცხვის უწყისში (მივლინება აჭარაში)</t>
    </r>
  </si>
  <si>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Sylfaen"/>
        <family val="1"/>
      </rPr>
      <t>1.8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Sylfaen"/>
        <family val="1"/>
      </rPr>
      <t>განსაზღვრეთ</t>
    </r>
    <r>
      <rPr>
        <b/>
        <sz val="10"/>
        <color theme="1"/>
        <rFont val="ArialUnicodeMS"/>
      </rPr>
      <t xml:space="preserve"> </t>
    </r>
    <r>
      <rPr>
        <b/>
        <sz val="10"/>
        <color theme="1"/>
        <rFont val="Sylfaen"/>
        <family val="1"/>
      </rPr>
      <t>ამ</t>
    </r>
    <r>
      <rPr>
        <b/>
        <sz val="10"/>
        <color theme="1"/>
        <rFont val="ArialUnicodeMS"/>
      </rPr>
      <t xml:space="preserve"> </t>
    </r>
    <r>
      <rPr>
        <b/>
        <sz val="10"/>
        <color theme="1"/>
        <rFont val="Sylfaen"/>
        <family val="1"/>
      </rPr>
      <t>ოპერაციის</t>
    </r>
    <r>
      <rPr>
        <b/>
        <sz val="10"/>
        <color theme="1"/>
        <rFont val="ArialUnicodeMS"/>
      </rPr>
      <t xml:space="preserve"> </t>
    </r>
    <r>
      <rPr>
        <b/>
        <sz val="10"/>
        <color theme="1"/>
        <rFont val="Sylfaen"/>
        <family val="1"/>
      </rPr>
      <t>შედეგად</t>
    </r>
    <r>
      <rPr>
        <b/>
        <sz val="10"/>
        <color theme="1"/>
        <rFont val="ArialUnicodeMS"/>
      </rPr>
      <t xml:space="preserve"> (ე. ლომიძე)  </t>
    </r>
    <r>
      <rPr>
        <b/>
        <sz val="10"/>
        <color theme="1"/>
        <rFont val="Sylfaen"/>
        <family val="1"/>
      </rPr>
      <t>მიღებული</t>
    </r>
    <r>
      <rPr>
        <b/>
        <sz val="10"/>
        <color theme="1"/>
        <rFont val="ArialUnicodeMS"/>
      </rPr>
      <t xml:space="preserve"> </t>
    </r>
    <r>
      <rPr>
        <b/>
        <sz val="10"/>
        <color theme="1"/>
        <rFont val="Sylfaen"/>
        <family val="1"/>
      </rPr>
      <t>სარგებელი</t>
    </r>
    <r>
      <rPr>
        <b/>
        <sz val="10"/>
        <color theme="1"/>
        <rFont val="ArialUnicodeMS"/>
      </rPr>
      <t xml:space="preserve"> </t>
    </r>
    <r>
      <rPr>
        <b/>
        <sz val="10"/>
        <color theme="1"/>
        <rFont val="Sylfaen"/>
        <family val="1"/>
      </rPr>
      <t>და გადაიტანეთ მონაცემები ხელფასის დარიცხვის უწყისში (მივლინება პორტუგალიაში)</t>
    </r>
  </si>
  <si>
    <r>
      <t xml:space="preserve"> მგზავრობა - 1550 </t>
    </r>
    <r>
      <rPr>
        <sz val="10"/>
        <color theme="1"/>
        <rFont val="Calibri"/>
        <family val="2"/>
      </rPr>
      <t>€</t>
    </r>
    <r>
      <rPr>
        <sz val="10"/>
        <color theme="1"/>
        <rFont val="Calibri"/>
        <family val="2"/>
        <scheme val="minor"/>
      </rPr>
      <t xml:space="preserve">  სასტუმროს ხარჯები - 2100 €       სადღეღამისო ხარჯი 714 €</t>
    </r>
  </si>
  <si>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Sylfaen"/>
        <family val="1"/>
      </rPr>
      <t>1.9  თანამშრომლების კომპლექსური სადილი</t>
    </r>
  </si>
  <si>
    <r>
      <rPr>
        <b/>
        <sz val="10"/>
        <color theme="1"/>
        <rFont val="Calibri"/>
        <family val="2"/>
        <scheme val="minor"/>
      </rPr>
      <t>პეტრე გიგან</t>
    </r>
    <r>
      <rPr>
        <sz val="10"/>
        <color theme="1"/>
        <rFont val="Calibri"/>
        <family val="2"/>
        <scheme val="minor"/>
      </rPr>
      <t>ი ფართის გამქირავებელი 950/0.95</t>
    </r>
  </si>
  <si>
    <r>
      <t xml:space="preserve">პეტრე მაჩაბელი- </t>
    </r>
    <r>
      <rPr>
        <sz val="10"/>
        <color theme="1"/>
        <rFont val="Calibri"/>
        <family val="2"/>
        <scheme val="minor"/>
      </rPr>
      <t>ფართის გამქირავებელი 1500</t>
    </r>
  </si>
  <si>
    <r>
      <rPr>
        <b/>
        <sz val="10"/>
        <color theme="1"/>
        <rFont val="Calibri"/>
        <family val="2"/>
        <scheme val="minor"/>
      </rPr>
      <t xml:space="preserve"> მზია მეტრეველი</t>
    </r>
    <r>
      <rPr>
        <sz val="10"/>
        <color theme="1"/>
        <rFont val="Calibri"/>
        <family val="2"/>
        <scheme val="minor"/>
      </rPr>
      <t xml:space="preserve"> თებერვლის დასაბეგრი სარგებელი 0. თანხა გადარიცხულია 7 მარტს</t>
    </r>
  </si>
  <si>
    <r>
      <t xml:space="preserve">მაყვალა თუშიშვილი </t>
    </r>
    <r>
      <rPr>
        <sz val="10"/>
        <color theme="1"/>
        <rFont val="Calibri"/>
        <family val="2"/>
        <scheme val="minor"/>
      </rPr>
      <t>მიკრო ბიზნესის სტატუსის მქონე პირი 500*0=0</t>
    </r>
  </si>
  <si>
    <r>
      <t xml:space="preserve">თ. შამფრიანი </t>
    </r>
    <r>
      <rPr>
        <sz val="10"/>
        <color theme="1"/>
        <rFont val="Calibri"/>
        <family val="2"/>
        <scheme val="minor"/>
      </rPr>
      <t>სატრანსპორტო მომსახურება 2400/0.8=3000</t>
    </r>
  </si>
  <si>
    <r>
      <t xml:space="preserve">ილია კალანდია </t>
    </r>
    <r>
      <rPr>
        <sz val="10"/>
        <color theme="1"/>
        <rFont val="Calibri"/>
        <family val="2"/>
        <scheme val="minor"/>
      </rPr>
      <t>დარღვეული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მიკრო ბიზნესის სტატუსის მქონე პირი. სატრანსპორტო მომსახურება 1500/0.8=1875</t>
    </r>
  </si>
  <si>
    <r>
      <t xml:space="preserve">თ.კალანდაძე </t>
    </r>
    <r>
      <rPr>
        <sz val="10"/>
        <color theme="1"/>
        <rFont val="Calibri"/>
        <family val="2"/>
        <scheme val="minor"/>
      </rPr>
      <t>საინსტალაციო მომსახურება 700/0,784=892,86</t>
    </r>
  </si>
  <si>
    <r>
      <rPr>
        <b/>
        <sz val="10"/>
        <color theme="1"/>
        <rFont val="Calibri"/>
        <family val="2"/>
        <scheme val="minor"/>
      </rPr>
      <t>გივი წიკლაური</t>
    </r>
    <r>
      <rPr>
        <sz val="10"/>
        <color theme="1"/>
        <rFont val="Calibri"/>
        <family val="2"/>
        <scheme val="minor"/>
      </rPr>
      <t xml:space="preserve"> სარემონტო მომსახურება 2300/0,784=2933,67</t>
    </r>
  </si>
  <si>
    <r>
      <rPr>
        <b/>
        <sz val="10"/>
        <color theme="1"/>
        <rFont val="Calibri"/>
        <family val="2"/>
        <scheme val="minor"/>
      </rPr>
      <t>ფ. გელბახიანი</t>
    </r>
    <r>
      <rPr>
        <sz val="10"/>
        <color theme="1"/>
        <rFont val="Calibri"/>
        <family val="2"/>
        <scheme val="minor"/>
      </rPr>
      <t xml:space="preserve">  სტიპენდია</t>
    </r>
  </si>
  <si>
    <r>
      <rPr>
        <b/>
        <sz val="10"/>
        <color theme="1"/>
        <rFont val="Calibri"/>
        <family val="2"/>
        <scheme val="minor"/>
      </rPr>
      <t xml:space="preserve">გ.  გინტური </t>
    </r>
    <r>
      <rPr>
        <sz val="10"/>
        <color theme="1"/>
        <rFont val="Calibri"/>
        <family val="2"/>
        <scheme val="minor"/>
      </rPr>
      <t xml:space="preserve"> სტიპენდია</t>
    </r>
  </si>
  <si>
    <r>
      <rPr>
        <b/>
        <sz val="10"/>
        <color theme="1"/>
        <rFont val="Calibri"/>
        <family val="2"/>
        <scheme val="minor"/>
      </rPr>
      <t>მ.ლაშხი</t>
    </r>
    <r>
      <rPr>
        <sz val="10"/>
        <color theme="1"/>
        <rFont val="Calibri"/>
        <family val="2"/>
        <scheme val="minor"/>
      </rPr>
      <t xml:space="preserve">  მკურნალობის თანხა</t>
    </r>
  </si>
  <si>
    <r>
      <rPr>
        <b/>
        <sz val="10"/>
        <color theme="1"/>
        <rFont val="Calibri"/>
        <family val="2"/>
        <scheme val="minor"/>
      </rPr>
      <t>მ ფერხული</t>
    </r>
    <r>
      <rPr>
        <sz val="10"/>
        <color theme="1"/>
        <rFont val="Calibri"/>
        <family val="2"/>
        <scheme val="minor"/>
      </rPr>
      <t xml:space="preserve"> სწავლის თანხა 1000*0,8=1250</t>
    </r>
  </si>
  <si>
    <r>
      <rPr>
        <b/>
        <sz val="10"/>
        <color theme="1"/>
        <rFont val="Calibri"/>
        <family val="2"/>
        <scheme val="minor"/>
      </rPr>
      <t>მ. ფიფია</t>
    </r>
    <r>
      <rPr>
        <sz val="10"/>
        <color theme="1"/>
        <rFont val="Calibri"/>
        <family val="2"/>
        <scheme val="minor"/>
      </rPr>
      <t xml:space="preserve">  700+1100=1800  1800/0,8=2075</t>
    </r>
  </si>
  <si>
    <r>
      <t xml:space="preserve">ვ. იაშვილი </t>
    </r>
    <r>
      <rPr>
        <sz val="10"/>
        <color theme="1"/>
        <rFont val="Calibri"/>
        <family val="2"/>
        <scheme val="minor"/>
      </rPr>
      <t>0 არ წარმოადგენს სარგებელს</t>
    </r>
  </si>
  <si>
    <t xml:space="preserve"> მგზავრობა 30+65+35=130    სასტუმროს ხარჯები - 1000            სადღეღამისო ხარჯი 20*15=300 შემოწირულობა 500</t>
  </si>
  <si>
    <t>ზენორმატიული ხარჯი (1475-1370)=105 105/0,8=131,25</t>
  </si>
  <si>
    <t>ზ. ბუჩუკური, ნ ხადური, კ.გოგავა,  ლ. ნანსყანი 20*5=100</t>
  </si>
  <si>
    <t>ე.ლომიძე 6*5=30</t>
  </si>
  <si>
    <t>1.10 სადაზღვევო შენატანი (კ. გოგავა)</t>
  </si>
  <si>
    <t>საწარმოს გადასახადი 60/0,8=75</t>
  </si>
  <si>
    <t>დაკავებულია მ.შადურის ხელფასიდან</t>
  </si>
  <si>
    <t>იჯარის ღირებულება 1500</t>
  </si>
  <si>
    <t>ხელფასის დარიცხვის უწყისი მე-5 სვეტის ჯამი</t>
  </si>
  <si>
    <t xml:space="preserve">ხელფასის დარიცხვის უწყისი მე-8 და მე-9 სვეტების ჯამი </t>
  </si>
  <si>
    <t>სამუშაო რვეული 2.1</t>
  </si>
  <si>
    <t>სამუშაო რვეული 2.2</t>
  </si>
  <si>
    <t>უჯრა 22,23 სვეტი 3</t>
  </si>
  <si>
    <t>უჯრა 23 სვეტი 4</t>
  </si>
  <si>
    <t>სსკ. 130.2</t>
  </si>
  <si>
    <t>სსკ. 134.2.1.ა უჯრა 23 სვეტი 4</t>
  </si>
  <si>
    <t>სსკ. 134.2.1.ა. უჯრა 46, 54 სვეტი 3</t>
  </si>
  <si>
    <t>სსკ. 130.1. უჯრა 46, 54 სვეტი 4</t>
  </si>
  <si>
    <t>სსკ. 130.1. უჯრა 46, 54 სვეტი 3</t>
  </si>
  <si>
    <t>სსკ. 131.1</t>
  </si>
  <si>
    <t xml:space="preserve">სსკ. 131.1 </t>
  </si>
  <si>
    <t xml:space="preserve">შეთანხმება ორმაგი დაბეგვრის შესახებ, ბრძ. 633 </t>
  </si>
  <si>
    <t>არ იბეგრება</t>
  </si>
  <si>
    <t xml:space="preserve">არ იბეგრება სსკ. 131.1 </t>
  </si>
  <si>
    <t>სსკ. 132.1 უჯრა 18.3</t>
  </si>
  <si>
    <t>სსკ. 132.1 უჯრა 18.4</t>
  </si>
  <si>
    <t xml:space="preserve"> 11 nawilis (15%iani ganakveTiT) </t>
  </si>
  <si>
    <t>`e~ qvepunqtis (sxvadasxva) mixedviT (10%-იანი განაკვეთით</t>
  </si>
  <si>
    <t>სამუშაო რვეული 2.3</t>
  </si>
  <si>
    <t>20000*5%*0=0</t>
  </si>
  <si>
    <t>სსკ. 134.1,1 უჯრა 32.3,38.3</t>
  </si>
  <si>
    <t>სსკ. 134.1.ბ.1 უჯრა , 49.4</t>
  </si>
  <si>
    <t xml:space="preserve">სსკ. 134.1.ბ.1 უჯრა 49,3 </t>
  </si>
  <si>
    <t xml:space="preserve">სსკ. 134.1.ბ.1 უჯრა 32.4,38.4 </t>
  </si>
  <si>
    <t>სსკ. 134.1.ბ.1 უჯრა 32.3,38.3  შეთანხმება ორმაგი დაბეგვრის  შესახებ, ბრძ.633</t>
  </si>
  <si>
    <r>
      <t>ბ</t>
    </r>
    <r>
      <rPr>
        <vertAlign val="superscript"/>
        <sz val="9"/>
        <color rgb="FF222222"/>
        <rFont val="BPG Arial"/>
      </rPr>
      <t>1</t>
    </r>
    <r>
      <rPr>
        <sz val="9"/>
        <color rgb="FF222222"/>
        <rFont val="BPG Arial"/>
      </rPr>
      <t>“ ქვეპუნქტით (განაკვეთი 5%) როიალტი</t>
    </r>
  </si>
  <si>
    <t>„ დ” ქვეპუნქტით ( განაკვეთი 4%) "ნავთობისა და გაზის შესახებ კანონი"</t>
  </si>
  <si>
    <t>„ ე” ქვეპუნქტით ( განაკვეთი 10%). სხვა თანხები</t>
  </si>
  <si>
    <t>„ გ” ქვეპუნქტით ( განაკვეთი 10%) (კავშირგაბმულობა, საერთაშორისო გადაზიდვა)</t>
  </si>
  <si>
    <t>სამუშაო რვეული 2.4, 2,5</t>
  </si>
  <si>
    <t xml:space="preserve">სსკ. 134.1.გ  უჯრა 42,3 50,3 </t>
  </si>
  <si>
    <t>სსკ. 134.1.გ  უჯრა 42,4 50,4</t>
  </si>
  <si>
    <r>
      <t>odenoba</t>
    </r>
    <r>
      <rPr>
        <sz val="11"/>
        <color rgb="FF008080"/>
        <rFont val="Calibri"/>
        <family val="2"/>
        <scheme val="minor"/>
      </rPr>
      <t xml:space="preserve"> </t>
    </r>
  </si>
  <si>
    <r>
      <t xml:space="preserve"> gadasaxadis </t>
    </r>
    <r>
      <rPr>
        <sz val="11"/>
        <color rgb="FF008080"/>
        <rFont val="Calibri"/>
        <family val="2"/>
        <scheme val="minor"/>
      </rPr>
      <t xml:space="preserve"> </t>
    </r>
    <r>
      <rPr>
        <sz val="9"/>
        <color rgb="FF008080"/>
        <rFont val="LitNusx"/>
      </rPr>
      <t>Tanxa</t>
    </r>
    <r>
      <rPr>
        <sz val="11"/>
        <color rgb="FF008080"/>
        <rFont val="Calibri"/>
        <family val="2"/>
        <scheme val="minor"/>
      </rPr>
      <t xml:space="preserve"> </t>
    </r>
  </si>
  <si>
    <r>
      <t>daqiravebiT momuSave fizikur pirebze xelfasis/sargeblis (fuladi, naturaluri) saxiT gacemuli anazRaureba, maT Soris:</t>
    </r>
    <r>
      <rPr>
        <sz val="11"/>
        <color rgb="FF008080"/>
        <rFont val="Calibri"/>
        <family val="2"/>
        <scheme val="minor"/>
      </rPr>
      <t xml:space="preserve"> </t>
    </r>
  </si>
  <si>
    <r>
      <t>eqvemdebareba gadaxdis wyarosTan dabegvras (SeRavaTebis gamoklebiT)</t>
    </r>
    <r>
      <rPr>
        <sz val="11"/>
        <color rgb="FF008080"/>
        <rFont val="Calibri"/>
        <family val="2"/>
        <scheme val="minor"/>
      </rPr>
      <t xml:space="preserve"> </t>
    </r>
  </si>
  <si>
    <r>
      <t>rezidenti fizikuri pirebisTvis gadaxdili roialti</t>
    </r>
    <r>
      <rPr>
        <sz val="11"/>
        <color rgb="FF008080"/>
        <rFont val="Calibri"/>
        <family val="2"/>
        <scheme val="minor"/>
      </rPr>
      <t xml:space="preserve"> </t>
    </r>
  </si>
  <si>
    <r>
      <t>romelic ibegreba 20%-iT</t>
    </r>
    <r>
      <rPr>
        <sz val="11"/>
        <color rgb="FF008080"/>
        <rFont val="Calibri"/>
        <family val="2"/>
        <scheme val="minor"/>
      </rPr>
      <t xml:space="preserve"> </t>
    </r>
  </si>
  <si>
    <r>
      <t>romelic ibegreba 5%-iT</t>
    </r>
    <r>
      <rPr>
        <sz val="11"/>
        <color rgb="FF008080"/>
        <rFont val="Calibri"/>
        <family val="2"/>
        <scheme val="minor"/>
      </rPr>
      <t xml:space="preserve"> </t>
    </r>
  </si>
  <si>
    <r>
      <t xml:space="preserve">fizikur pirebze gacemuli dividendebi, maT Soris: </t>
    </r>
    <r>
      <rPr>
        <sz val="11"/>
        <color rgb="FF008080"/>
        <rFont val="Calibri"/>
        <family val="2"/>
        <scheme val="minor"/>
      </rPr>
      <t xml:space="preserve"> </t>
    </r>
  </si>
  <si>
    <r>
      <t xml:space="preserve">fizikur pirebze gacemuli procentebi, maT Soris: </t>
    </r>
    <r>
      <rPr>
        <sz val="11"/>
        <color rgb="FF008080"/>
        <rFont val="Calibri"/>
        <family val="2"/>
        <scheme val="minor"/>
      </rPr>
      <t xml:space="preserve"> </t>
    </r>
  </si>
  <si>
    <r>
      <t>turistuli sawarmos mier sastumros aqtivebis/maTi nawilis mesakuTre fizikur pirze Sesabamisi xelSekrulebis safuZvelze gacemuli anazRaureba</t>
    </r>
    <r>
      <rPr>
        <sz val="9"/>
        <color rgb="FF008080"/>
        <rFont val="Calibri"/>
        <family val="2"/>
        <scheme val="minor"/>
      </rPr>
      <t xml:space="preserve"> </t>
    </r>
  </si>
  <si>
    <r>
      <t>mudmivi dawesebulebis armqone ararezident fizikur pirebze gaweuli momsaxurebisaTvis gacemuli anazRaureba, romelic eqvemdebareba gadaxdis wyarosTan dabegvras (garda procentebisa da dividendisa). maT Soris, ganacemi ssk 134-e muxlis pirveli nawilis:</t>
    </r>
    <r>
      <rPr>
        <b/>
        <sz val="9"/>
        <color rgb="FF008080"/>
        <rFont val="Calibri"/>
        <family val="2"/>
        <scheme val="minor"/>
      </rPr>
      <t xml:space="preserve"> </t>
    </r>
  </si>
  <si>
    <r>
      <t>`b</t>
    </r>
    <r>
      <rPr>
        <vertAlign val="superscript"/>
        <sz val="9"/>
        <color rgb="FF008080"/>
        <rFont val="LitNusx"/>
      </rPr>
      <t>1</t>
    </r>
    <r>
      <rPr>
        <sz val="9"/>
        <color rgb="FF008080"/>
        <rFont val="LitNusx"/>
      </rPr>
      <t>~ qvepunqtis (roialti) mixedviT (5%-iani ganakveTiT)</t>
    </r>
    <r>
      <rPr>
        <sz val="9"/>
        <color rgb="FF008080"/>
        <rFont val="Calibri"/>
        <family val="2"/>
        <scheme val="minor"/>
      </rPr>
      <t xml:space="preserve"> </t>
    </r>
  </si>
  <si>
    <r>
      <t>`g~ qvepunqtis (kavSirgabmuloba...) mixedviT (10%-iani ganakveTiT)</t>
    </r>
    <r>
      <rPr>
        <sz val="9"/>
        <color rgb="FF008080"/>
        <rFont val="Calibri"/>
        <family val="2"/>
        <scheme val="minor"/>
      </rPr>
      <t xml:space="preserve"> </t>
    </r>
  </si>
  <si>
    <r>
      <t>`d~ qvepunqtis (navTobi da gazi...) mixedviT (4%-iani ganakveTiT)</t>
    </r>
    <r>
      <rPr>
        <sz val="9"/>
        <color rgb="FF008080"/>
        <rFont val="Calibri"/>
        <family val="2"/>
        <scheme val="minor"/>
      </rPr>
      <t xml:space="preserve"> </t>
    </r>
  </si>
  <si>
    <r>
      <t xml:space="preserve"> 1</t>
    </r>
    <r>
      <rPr>
        <vertAlign val="superscript"/>
        <sz val="9"/>
        <color rgb="FF008080"/>
        <rFont val="LitNusx"/>
      </rPr>
      <t>1</t>
    </r>
    <r>
      <rPr>
        <sz val="9"/>
        <color rgb="FF008080"/>
        <rFont val="LitNusx"/>
      </rPr>
      <t xml:space="preserve"> nawilis (15%iani ganakveTiT) </t>
    </r>
  </si>
  <si>
    <r>
      <t>mudmivi dawesebulebis armqone ararezident fizikur pirebze gaweuli momsaxurebisaTvis gacemuli anazRaureba (SeRavaTebis gamoklebiT), romelic eqvemdebareba gadaxdis wyarosTan dabegvras (garda procentebisa da dividendisa). maT Soris, ganacemi ssk 134-e muxlis pirveli nawilis:</t>
    </r>
    <r>
      <rPr>
        <b/>
        <sz val="9"/>
        <color rgb="FF008080"/>
        <rFont val="Calibri"/>
        <family val="2"/>
        <scheme val="minor"/>
      </rPr>
      <t xml:space="preserve"> </t>
    </r>
  </si>
  <si>
    <r>
      <t>`b</t>
    </r>
    <r>
      <rPr>
        <vertAlign val="superscript"/>
        <sz val="11"/>
        <color rgb="FF008080"/>
        <rFont val="LitNusx"/>
      </rPr>
      <t>1</t>
    </r>
    <r>
      <rPr>
        <sz val="11"/>
        <color rgb="FF008080"/>
        <rFont val="LitNusx"/>
      </rPr>
      <t>~ qvepunqtis (roialti) mixedviT (5%-iani ganakveTiT)</t>
    </r>
    <r>
      <rPr>
        <sz val="11"/>
        <color rgb="FF008080"/>
        <rFont val="Calibri"/>
        <family val="2"/>
        <scheme val="minor"/>
      </rPr>
      <t xml:space="preserve"> </t>
    </r>
  </si>
  <si>
    <r>
      <t>`g~ qvepunqtis (kavSirgabmuloba, საერთაშორისო გადაზიდვა...) mixedviT (10%-iani ganakveTiT)</t>
    </r>
    <r>
      <rPr>
        <sz val="11"/>
        <color rgb="FF008080"/>
        <rFont val="Calibri"/>
        <family val="2"/>
        <scheme val="minor"/>
      </rPr>
      <t xml:space="preserve"> </t>
    </r>
  </si>
  <si>
    <r>
      <t>biujetSi gadasaxdeli wyarosTan dakavebuli saSemosavlo gadasaxadi (17,18,19,20,21,23,25,26,34-38  ujrebSi asaxuli Tanxebis Sesabamis sagadasaxado ganakveTebze namravlis jami)</t>
    </r>
    <r>
      <rPr>
        <sz val="9"/>
        <color rgb="FF008080"/>
        <rFont val="Calibri"/>
        <family val="2"/>
        <scheme val="minor"/>
      </rPr>
      <t xml:space="preserve"> </t>
    </r>
  </si>
  <si>
    <r>
      <t xml:space="preserve"> organizaciebze და საქართველოში მუდმივი დაწესებულების აქმქონე არარეზიდენტ საწარმოებზე  gadaxdis wyarosTan dabegvras daqvemdebarebuli ganacemebi. maT Soris: ganacemi ssk 134-e muxlis pirveli nawilis:</t>
    </r>
    <r>
      <rPr>
        <b/>
        <sz val="9"/>
        <color rgb="FF008080"/>
        <rFont val="Calibri"/>
        <family val="2"/>
        <scheme val="minor"/>
      </rPr>
      <t xml:space="preserve"> </t>
    </r>
  </si>
  <si>
    <r>
      <t>`g~ qvepunqtis (kavSirgabmulobა, საერთაშორისო გადაზიდვა..) mixedviT (10%-iani ganakveTiT)</t>
    </r>
    <r>
      <rPr>
        <sz val="9"/>
        <color rgb="FF008080"/>
        <rFont val="Calibri"/>
        <family val="2"/>
        <scheme val="minor"/>
      </rPr>
      <t xml:space="preserve"> </t>
    </r>
  </si>
  <si>
    <r>
      <t>1</t>
    </r>
    <r>
      <rPr>
        <vertAlign val="superscript"/>
        <sz val="9"/>
        <color rgb="FF008080"/>
        <rFont val="LitNusx"/>
      </rPr>
      <t>1</t>
    </r>
    <r>
      <rPr>
        <sz val="9"/>
        <color rgb="FF008080"/>
        <rFont val="LitNusx"/>
      </rPr>
      <t xml:space="preserve"> nawilis (15%iani ganakveTiT) </t>
    </r>
  </si>
  <si>
    <r>
      <t>b) dividendebi (ganakveTi - 5%)</t>
    </r>
    <r>
      <rPr>
        <sz val="11"/>
        <color rgb="FF008080"/>
        <rFont val="Calibri"/>
        <family val="2"/>
        <scheme val="minor"/>
      </rPr>
      <t xml:space="preserve"> </t>
    </r>
  </si>
  <si>
    <r>
      <t>g) procentebi (ganakveTi - 5%)</t>
    </r>
    <r>
      <rPr>
        <sz val="11"/>
        <color rgb="FF008080"/>
        <rFont val="Calibri"/>
        <family val="2"/>
        <scheme val="minor"/>
      </rPr>
      <t xml:space="preserve"> </t>
    </r>
  </si>
  <si>
    <r>
      <t xml:space="preserve"> organizaciebze და საქართველოში მუდმივი დაწესებულების აქმქონე არარეზიდენტ საწარმოებზე  gadaxdis wyarosTan dabegvras daqvemdebarebuli ganacemebi (SeRavaTebis gamoklebiT), maT Soris, ganacemi ssk 134-e muxlis pirveli nawilis:</t>
    </r>
    <r>
      <rPr>
        <b/>
        <sz val="9"/>
        <color rgb="FF008080"/>
        <rFont val="Calibri"/>
        <family val="2"/>
        <scheme val="minor"/>
      </rPr>
      <t xml:space="preserve"> </t>
    </r>
  </si>
  <si>
    <r>
      <t>(roialti, sxvadasxva) mixedviT (15%iani ganakveTiT)</t>
    </r>
    <r>
      <rPr>
        <sz val="11"/>
        <color rgb="FF008080"/>
        <rFont val="Calibri"/>
        <family val="2"/>
        <scheme val="minor"/>
      </rPr>
      <t xml:space="preserve"> </t>
    </r>
  </si>
  <si>
    <r>
      <t>informaciisTvis</t>
    </r>
    <r>
      <rPr>
        <b/>
        <sz val="12"/>
        <color rgb="FF008080"/>
        <rFont val="Sylfaen"/>
        <family val="1"/>
      </rPr>
      <t xml:space="preserve"> </t>
    </r>
  </si>
  <si>
    <r>
      <t>miwodebuli saqonlis/gaweuli momsaxurebis Rirebuleba</t>
    </r>
    <r>
      <rPr>
        <sz val="11"/>
        <color rgb="FF008080"/>
        <rFont val="Calibri"/>
        <family val="2"/>
        <scheme val="minor"/>
      </rPr>
      <t xml:space="preserve"> </t>
    </r>
  </si>
  <si>
    <r>
      <t>sameurneo operaciis ganxorcielebasTan dakavSirebuli xarji</t>
    </r>
    <r>
      <rPr>
        <sz val="11"/>
        <color rgb="FF008080"/>
        <rFont val="Calibri"/>
        <family val="2"/>
        <scheme val="minor"/>
      </rPr>
      <t xml:space="preserve"> </t>
    </r>
  </si>
  <si>
    <r>
      <t>sagadasaxado organos mier inventarizaciis Sedegad gamovlenili sasaqonlomaterialuri faseulobis danaklisis odenoba</t>
    </r>
    <r>
      <rPr>
        <sz val="9"/>
        <color rgb="FF008080"/>
        <rFont val="Calibri"/>
        <family val="2"/>
        <scheme val="minor"/>
      </rPr>
      <t xml:space="preserve"> </t>
    </r>
  </si>
  <si>
    <r>
      <t>aradaqiravebul fizikur pirebze gacemuli Tanxebi, romelic ar ukavSirdeba momsaxurebis anazRaurebas da ar eqvemdebareba gadaxdis wyarosTan dabegvras</t>
    </r>
    <r>
      <rPr>
        <sz val="9"/>
        <color rgb="FF008080"/>
        <rFont val="Calibri"/>
        <family val="2"/>
        <scheme val="minor"/>
      </rPr>
      <t xml:space="preserve"> </t>
    </r>
  </si>
  <si>
    <r>
      <t>maqsimaluri xelfasi</t>
    </r>
    <r>
      <rPr>
        <sz val="11"/>
        <color rgb="FF008080"/>
        <rFont val="Calibri"/>
        <family val="2"/>
        <scheme val="minor"/>
      </rPr>
      <t xml:space="preserve"> </t>
    </r>
  </si>
  <si>
    <r>
      <t>minimaluri xelfasi</t>
    </r>
    <r>
      <rPr>
        <sz val="11"/>
        <color rgb="FF008080"/>
        <rFont val="Calibri"/>
        <family val="2"/>
        <scheme val="minor"/>
      </rPr>
      <t xml:space="preserve"> </t>
    </r>
  </si>
  <si>
    <r>
      <t>naRdi fulis naSTi Tvis bolosTvis</t>
    </r>
    <r>
      <rPr>
        <sz val="11"/>
        <color rgb="FF008080"/>
        <rFont val="Calibri"/>
        <family val="2"/>
        <scheme val="minor"/>
      </rPr>
      <t xml:space="preserve"> </t>
    </r>
  </si>
  <si>
    <r>
      <t xml:space="preserve">saqveangariSod gacemuli Tanxa </t>
    </r>
    <r>
      <rPr>
        <sz val="11"/>
        <color rgb="FF008080"/>
        <rFont val="Calibri"/>
        <family val="2"/>
        <scheme val="minor"/>
      </rPr>
      <t xml:space="preserve"> </t>
    </r>
  </si>
  <si>
    <r>
      <t>pirTa raodenoba, romlebzec gacemulia 68-e ujraSi asaxuli Tanxa</t>
    </r>
    <r>
      <rPr>
        <sz val="11"/>
        <color rgb="FF008080"/>
        <rFont val="Calibri"/>
        <family val="2"/>
        <scheme val="minor"/>
      </rPr>
      <t xml:space="preserve"> </t>
    </r>
  </si>
  <si>
    <r>
      <t>aradaqiravebul fizikur pirebze gacemuli Tanxebi, romelic ar ukavSirdeba momsaxurebis anazRaurebas da amasTan, eqvemdebareba gadaxdis wyarosTan gadasaxadis dakavebas (garda dividendebisa da anabrebze gacemuli procentebisa)</t>
    </r>
    <r>
      <rPr>
        <sz val="9"/>
        <color rgb="FF008080"/>
        <rFont val="Calibri"/>
        <family val="2"/>
        <scheme val="minor"/>
      </rPr>
      <t xml:space="preserve"> </t>
    </r>
  </si>
  <si>
    <t xml:space="preserve">სსკ. 134.1.დ  უჯრა 43,3 51,3 </t>
  </si>
  <si>
    <t>სსკ. 134.1.დ  უჯრა 43,4 51,4</t>
  </si>
  <si>
    <t>სამუშაო რვეული 2.6</t>
  </si>
  <si>
    <t>სამუშაო რვეული 2.2, 2,5</t>
  </si>
  <si>
    <t>სსკ. 131.1 უჯრა 47, 55</t>
  </si>
  <si>
    <t>არ არის ამ თვის დაბეგვრის ობიექტი</t>
  </si>
  <si>
    <t>სამუშაო რვეული 2.9</t>
  </si>
  <si>
    <t>სსკ. 134.1.ე  უჯრა  52.3, 52,4</t>
  </si>
  <si>
    <t xml:space="preserve">სსკ. 134.1.ე  უჯრა 44,3  52,3 </t>
  </si>
  <si>
    <t>სამუშაო რვეული 2.10</t>
  </si>
  <si>
    <t>სსკ. 81.2.ე  უჯრა 20.4</t>
  </si>
  <si>
    <t xml:space="preserve">სსკ. 81.2.  უჯრა 20.3 </t>
  </si>
  <si>
    <t xml:space="preserve">სსკ. 81.1  უჯრა 19.3 </t>
  </si>
  <si>
    <t>სსკ. 81.1  უჯრა 19.4</t>
  </si>
  <si>
    <t>(1913,27-38,27)*20%=375</t>
  </si>
  <si>
    <t xml:space="preserve">2.12 უსასყიდლოდ თანხის გაცემა </t>
  </si>
  <si>
    <t>სამუშაო რვეული 2.12, 2,13</t>
  </si>
  <si>
    <t>სსკ. 154.1.მ  უჯრა 21.4</t>
  </si>
  <si>
    <t>სსკ. 154.1.მ  უჯრა 21.3</t>
  </si>
  <si>
    <t>სსკ. 154.1.მ, უჯრა 62.3 იბეგრება მოგების გადასახადით</t>
  </si>
  <si>
    <t xml:space="preserve">დამხმარე ცხრილი სხვა შემოსავლების და დასაკავებელი  წინასწარ გაცემული თანხების გაანგარიშებისთვის </t>
  </si>
  <si>
    <t>სსკ.101.2.ზ</t>
  </si>
  <si>
    <t>სსკ.101.2.ბ</t>
  </si>
  <si>
    <t>სსკ.101.2.ი</t>
  </si>
  <si>
    <t>ბრძანება #220</t>
  </si>
  <si>
    <t>სსკ.101.2.გ</t>
  </si>
  <si>
    <t>სსკ.101.2.ვ</t>
  </si>
  <si>
    <t>სსკ.101.2.ე</t>
  </si>
  <si>
    <t>სსკ.101.2.თ</t>
  </si>
  <si>
    <t>სსკ.101.2.დ</t>
  </si>
  <si>
    <t>სსკ.101.2.ი, 82.2ა.დ</t>
  </si>
  <si>
    <t>სსკ. 130</t>
  </si>
  <si>
    <t>სსკ. 131</t>
  </si>
  <si>
    <r>
      <t xml:space="preserve">პეტრე მაჩაბელი </t>
    </r>
    <r>
      <rPr>
        <sz val="10"/>
        <color theme="1"/>
        <rFont val="Calibri"/>
        <family val="2"/>
        <scheme val="minor"/>
      </rPr>
      <t>ფართის გამქირავებელი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1500/,0784=1913,27</t>
    </r>
  </si>
  <si>
    <t>სსკ. 134.1.1 უჯრა 38.4</t>
  </si>
  <si>
    <t>25000*5%*0=1500</t>
  </si>
  <si>
    <t>სსკ. 131.1 ,134.1.1 უჯრა 32.3, 38,.3</t>
  </si>
  <si>
    <t>4000*15%=600</t>
  </si>
  <si>
    <t>სსკ. 134.1.1 უჯრა ,38.4</t>
  </si>
  <si>
    <t>სსკ. 101</t>
  </si>
  <si>
    <t>16667*10%=1666,67</t>
  </si>
  <si>
    <t>15000/0,9=16667</t>
  </si>
  <si>
    <t>10000/0,9=11111,11</t>
  </si>
  <si>
    <t>11111,11*10%=1111.11</t>
  </si>
  <si>
    <r>
      <rPr>
        <b/>
        <sz val="10"/>
        <color theme="1"/>
        <rFont val="Calibri"/>
        <family val="2"/>
        <scheme val="minor"/>
      </rPr>
      <t xml:space="preserve"> ნინო მონიავა</t>
    </r>
    <r>
      <rPr>
        <sz val="10"/>
        <color theme="1"/>
        <rFont val="Calibri"/>
        <family val="2"/>
        <scheme val="minor"/>
      </rPr>
      <t xml:space="preserve"> თებერვლის დასაბეგრი სარგებელი 0</t>
    </r>
  </si>
  <si>
    <t>მგზავრობა -1180 € სასტუმროს ხარჯი- 127*9= 1143 € სადღეღამისო ხარჯი 34*10=340 €</t>
  </si>
  <si>
    <t>ზენორმატიული ხარჯი 4364-2663=1701 €</t>
  </si>
  <si>
    <t>ზენორმატიული ხარჯი დაბრუნებული თანხის გათვალისწინებით 5953,50-5000= 953,50</t>
  </si>
  <si>
    <t>სსკ.132.1 არ იბეგრება საშემოსავლო გადასახადით</t>
  </si>
  <si>
    <t>=</t>
  </si>
  <si>
    <t>საშემოსავლო გადასახადი 2000+400= 2400 2400/0,8*20%=480</t>
  </si>
  <si>
    <t>ყოველთვიური სარგებელი  100000*20%/0,8/12*1=2083,33</t>
  </si>
  <si>
    <t>ზენორმატიული ხარჯი (1500-1400)/=100</t>
  </si>
  <si>
    <t>გაცემულია ავანსი 1500 ლარი</t>
  </si>
  <si>
    <t>შემოსავალი სულ 4973,5</t>
  </si>
  <si>
    <t>საშემოსავლო გადასახადი 4973,5*,08=994,70</t>
  </si>
  <si>
    <t>დაკავებული ალიმენტი (4973,50-994,7)*1/4=994,70</t>
  </si>
  <si>
    <t>წინასწარ გაცემული თანხების დაკავება</t>
  </si>
  <si>
    <t>სამუშაო რვეული 2.2, 2.7</t>
  </si>
  <si>
    <t>შეღავათის თანხა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</si>
</sst>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Sylfaen"/>
      <family val="1"/>
    </font>
    <font>
      <sz val="9"/>
      <color theme="1"/>
      <name val="AcadNusx"/>
    </font>
    <font>
      <sz val="11"/>
      <color theme="1"/>
      <name val="AcadNusx"/>
    </font>
    <font>
      <b/>
      <sz val="12"/>
      <color theme="1"/>
      <name val="AcadNusx"/>
    </font>
    <font>
      <sz val="9"/>
      <color rgb="FF000000"/>
      <name val="Sylfaen"/>
      <family val="1"/>
    </font>
    <font>
      <u/>
      <sz val="9"/>
      <color rgb="FF008080"/>
      <name val="AcadNusx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b/>
      <sz val="11"/>
      <color theme="1"/>
      <name val="Sylfaen"/>
      <family val="1"/>
    </font>
    <font>
      <b/>
      <sz val="11"/>
      <color theme="1"/>
      <name val="Times New Roman"/>
      <family val="1"/>
    </font>
    <font>
      <b/>
      <u/>
      <sz val="12"/>
      <color rgb="FF008080"/>
      <name val="Sylfaen"/>
      <family val="1"/>
    </font>
    <font>
      <b/>
      <u/>
      <sz val="10"/>
      <color rgb="FF008080"/>
      <name val="Sylfaen"/>
      <family val="1"/>
    </font>
    <font>
      <b/>
      <u/>
      <sz val="10"/>
      <color rgb="FF008080"/>
      <name val="LitMtavrPS"/>
    </font>
    <font>
      <u/>
      <sz val="7.5"/>
      <color rgb="FF008080"/>
      <name val="LitMtavrPS"/>
    </font>
    <font>
      <u/>
      <sz val="11"/>
      <color rgb="FF008080"/>
      <name val="Calibri"/>
      <family val="2"/>
      <scheme val="minor"/>
    </font>
    <font>
      <u/>
      <sz val="9"/>
      <color rgb="FF008080"/>
      <name val="LitNusx"/>
    </font>
    <font>
      <b/>
      <u/>
      <sz val="9"/>
      <color rgb="FF008080"/>
      <name val="Calibri"/>
      <family val="2"/>
      <scheme val="minor"/>
    </font>
    <font>
      <u/>
      <sz val="11"/>
      <color rgb="FF008080"/>
      <name val="LitNusx"/>
    </font>
    <font>
      <sz val="9"/>
      <color rgb="FF222222"/>
      <name val="BPG Arial"/>
    </font>
    <font>
      <b/>
      <sz val="11"/>
      <color theme="1"/>
      <name val="AcadNusx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000000"/>
      <name val="Sylfae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AcadNusx"/>
    </font>
    <font>
      <sz val="10"/>
      <color theme="1"/>
      <name val="Wingdings"/>
      <charset val="2"/>
    </font>
    <font>
      <sz val="10"/>
      <color theme="1"/>
      <name val="Times New Roman"/>
      <family val="1"/>
    </font>
    <font>
      <b/>
      <sz val="10"/>
      <color theme="1"/>
      <name val="ArialUnicodeMS"/>
    </font>
    <font>
      <sz val="10"/>
      <color theme="1"/>
      <name val="Calibri"/>
      <family val="2"/>
    </font>
    <font>
      <b/>
      <sz val="10"/>
      <color theme="1"/>
      <name val="Wingdings"/>
      <charset val="2"/>
    </font>
    <font>
      <sz val="10"/>
      <color rgb="FF333333"/>
      <name val="Arial"/>
      <family val="2"/>
    </font>
    <font>
      <sz val="11"/>
      <color rgb="FF008080"/>
      <name val="Calibri"/>
      <family val="2"/>
      <scheme val="minor"/>
    </font>
    <font>
      <sz val="11"/>
      <color rgb="FF008080"/>
      <name val="LitNusx"/>
    </font>
    <font>
      <vertAlign val="superscript"/>
      <sz val="9"/>
      <color rgb="FF222222"/>
      <name val="BPG Arial"/>
    </font>
    <font>
      <sz val="9"/>
      <color rgb="FF008080"/>
      <name val="LitNusx"/>
    </font>
    <font>
      <sz val="9"/>
      <color rgb="FF008080"/>
      <name val="Calibri"/>
      <family val="2"/>
      <scheme val="minor"/>
    </font>
    <font>
      <b/>
      <sz val="9"/>
      <color rgb="FF008080"/>
      <name val="LitNusx"/>
    </font>
    <font>
      <b/>
      <sz val="9"/>
      <color rgb="FF008080"/>
      <name val="Calibri"/>
      <family val="2"/>
      <scheme val="minor"/>
    </font>
    <font>
      <vertAlign val="superscript"/>
      <sz val="9"/>
      <color rgb="FF008080"/>
      <name val="LitNusx"/>
    </font>
    <font>
      <vertAlign val="superscript"/>
      <sz val="11"/>
      <color rgb="FF008080"/>
      <name val="LitNusx"/>
    </font>
    <font>
      <b/>
      <sz val="12"/>
      <color rgb="FF008080"/>
      <name val="LitNusx"/>
    </font>
    <font>
      <b/>
      <sz val="12"/>
      <color rgb="FF008080"/>
      <name val="Sylfaen"/>
      <family val="1"/>
    </font>
    <font>
      <sz val="8.5"/>
      <color rgb="FF008080"/>
      <name val="LitNusx"/>
    </font>
    <font>
      <sz val="10"/>
      <color rgb="FF008080"/>
      <name val="LitNusx"/>
    </font>
    <font>
      <sz val="9"/>
      <color rgb="FF008080"/>
      <name val="Sylfaen"/>
      <family val="1"/>
    </font>
    <font>
      <sz val="11"/>
      <color rgb="FF008080"/>
      <name val="Sylfaen"/>
      <family val="1"/>
    </font>
    <font>
      <sz val="12"/>
      <color theme="1"/>
      <name val="AcadNusx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7F7F7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rgb="FF80808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0">
    <xf numFmtId="0" fontId="0" fillId="0" borderId="0" xfId="0"/>
    <xf numFmtId="0" fontId="6" fillId="0" borderId="1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4" fillId="2" borderId="3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indent="8"/>
    </xf>
    <xf numFmtId="0" fontId="17" fillId="0" borderId="0" xfId="0" applyFont="1" applyAlignment="1">
      <alignment horizontal="left" indent="15"/>
    </xf>
    <xf numFmtId="0" fontId="0" fillId="0" borderId="0" xfId="0" applyAlignment="1">
      <alignment wrapText="1"/>
    </xf>
    <xf numFmtId="0" fontId="19" fillId="0" borderId="0" xfId="0" applyFont="1" applyAlignment="1">
      <alignment horizontal="left" indent="8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3" fillId="0" borderId="38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31" fillId="0" borderId="0" xfId="0" applyFont="1"/>
    <xf numFmtId="0" fontId="29" fillId="0" borderId="0" xfId="0" applyFont="1"/>
    <xf numFmtId="0" fontId="30" fillId="0" borderId="0" xfId="0" applyFont="1"/>
    <xf numFmtId="0" fontId="32" fillId="0" borderId="0" xfId="0" applyNumberFormat="1" applyFont="1"/>
    <xf numFmtId="0" fontId="27" fillId="0" borderId="6" xfId="0" applyFont="1" applyBorder="1" applyAlignment="1">
      <alignment horizontal="center"/>
    </xf>
    <xf numFmtId="2" fontId="27" fillId="0" borderId="6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2" fontId="0" fillId="0" borderId="0" xfId="0" applyNumberFormat="1"/>
    <xf numFmtId="2" fontId="27" fillId="0" borderId="14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 horizontal="center"/>
    </xf>
    <xf numFmtId="2" fontId="27" fillId="0" borderId="27" xfId="0" applyNumberFormat="1" applyFont="1" applyFill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27" fillId="0" borderId="27" xfId="0" applyFont="1" applyBorder="1" applyAlignment="1">
      <alignment horizontal="center"/>
    </xf>
    <xf numFmtId="2" fontId="32" fillId="0" borderId="27" xfId="0" applyNumberFormat="1" applyFont="1" applyBorder="1" applyAlignment="1">
      <alignment horizontal="center"/>
    </xf>
    <xf numFmtId="2" fontId="27" fillId="0" borderId="6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27" fillId="0" borderId="59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textRotation="90" wrapText="1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Alignment="1">
      <alignment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2" fontId="27" fillId="0" borderId="9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72" xfId="0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2" fontId="31" fillId="0" borderId="9" xfId="0" applyNumberFormat="1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/>
    </xf>
    <xf numFmtId="0" fontId="31" fillId="0" borderId="72" xfId="0" applyFont="1" applyBorder="1" applyAlignment="1">
      <alignment vertical="center"/>
    </xf>
    <xf numFmtId="0" fontId="27" fillId="0" borderId="6" xfId="0" applyFont="1" applyBorder="1" applyAlignment="1">
      <alignment horizontal="center" vertical="center" wrapText="1"/>
    </xf>
    <xf numFmtId="2" fontId="27" fillId="0" borderId="72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2" fontId="27" fillId="0" borderId="0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 wrapText="1"/>
    </xf>
    <xf numFmtId="0" fontId="32" fillId="0" borderId="0" xfId="0" applyFont="1"/>
    <xf numFmtId="0" fontId="34" fillId="2" borderId="0" xfId="0" applyFont="1" applyFill="1" applyBorder="1" applyAlignment="1">
      <alignment horizontal="center" wrapText="1"/>
    </xf>
    <xf numFmtId="2" fontId="27" fillId="0" borderId="0" xfId="0" applyNumberFormat="1" applyFont="1"/>
    <xf numFmtId="0" fontId="27" fillId="0" borderId="27" xfId="0" applyFont="1" applyBorder="1" applyAlignment="1">
      <alignment horizontal="center" vertical="center"/>
    </xf>
    <xf numFmtId="2" fontId="27" fillId="0" borderId="28" xfId="0" applyNumberFormat="1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2" fontId="27" fillId="0" borderId="52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40" fillId="0" borderId="0" xfId="0" applyFont="1"/>
    <xf numFmtId="0" fontId="27" fillId="0" borderId="11" xfId="0" applyFont="1" applyBorder="1" applyAlignment="1">
      <alignment horizontal="center" vertical="top" wrapText="1"/>
    </xf>
    <xf numFmtId="1" fontId="27" fillId="0" borderId="11" xfId="0" applyNumberFormat="1" applyFont="1" applyBorder="1" applyAlignment="1">
      <alignment horizontal="center" vertical="center" wrapText="1"/>
    </xf>
    <xf numFmtId="1" fontId="27" fillId="0" borderId="0" xfId="0" applyNumberFormat="1" applyFont="1"/>
    <xf numFmtId="0" fontId="27" fillId="0" borderId="6" xfId="0" applyFont="1" applyBorder="1" applyAlignment="1">
      <alignment horizontal="center" vertical="center" wrapText="1"/>
    </xf>
    <xf numFmtId="0" fontId="32" fillId="0" borderId="55" xfId="0" applyFont="1" applyBorder="1" applyAlignment="1"/>
    <xf numFmtId="2" fontId="27" fillId="0" borderId="18" xfId="0" applyNumberFormat="1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32" fillId="0" borderId="0" xfId="0" applyFont="1" applyBorder="1" applyAlignment="1"/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41" fillId="2" borderId="3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 wrapText="1" shrinkToFit="1"/>
    </xf>
    <xf numFmtId="3" fontId="27" fillId="0" borderId="14" xfId="0" applyNumberFormat="1" applyFont="1" applyBorder="1" applyAlignment="1">
      <alignment horizontal="center" vertical="center" wrapText="1" shrinkToFit="1"/>
    </xf>
    <xf numFmtId="4" fontId="27" fillId="0" borderId="19" xfId="0" applyNumberFormat="1" applyFont="1" applyBorder="1" applyAlignment="1">
      <alignment vertical="center" wrapText="1" shrinkToFit="1"/>
    </xf>
    <xf numFmtId="0" fontId="31" fillId="0" borderId="8" xfId="0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vertical="center" wrapText="1" shrinkToFit="1"/>
    </xf>
    <xf numFmtId="0" fontId="27" fillId="0" borderId="2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 wrapText="1"/>
    </xf>
    <xf numFmtId="4" fontId="27" fillId="0" borderId="6" xfId="0" applyNumberFormat="1" applyFont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1" fontId="31" fillId="0" borderId="15" xfId="0" applyNumberFormat="1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2" fontId="27" fillId="0" borderId="6" xfId="0" applyNumberFormat="1" applyFont="1" applyBorder="1" applyAlignment="1">
      <alignment horizontal="center" vertical="center" wrapText="1"/>
    </xf>
    <xf numFmtId="1" fontId="27" fillId="0" borderId="6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2" fontId="27" fillId="0" borderId="8" xfId="0" applyNumberFormat="1" applyFont="1" applyBorder="1" applyAlignment="1">
      <alignment horizontal="center" vertical="center" wrapText="1"/>
    </xf>
    <xf numFmtId="2" fontId="27" fillId="0" borderId="19" xfId="0" applyNumberFormat="1" applyFont="1" applyBorder="1" applyAlignment="1">
      <alignment horizontal="center" vertical="center" wrapText="1"/>
    </xf>
    <xf numFmtId="2" fontId="27" fillId="0" borderId="73" xfId="0" applyNumberFormat="1" applyFont="1" applyBorder="1" applyAlignment="1">
      <alignment vertical="center" wrapText="1"/>
    </xf>
    <xf numFmtId="2" fontId="27" fillId="0" borderId="53" xfId="0" applyNumberFormat="1" applyFont="1" applyBorder="1" applyAlignment="1">
      <alignment vertical="center" wrapText="1"/>
    </xf>
    <xf numFmtId="2" fontId="27" fillId="0" borderId="75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2" fillId="0" borderId="43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wrapText="1"/>
    </xf>
    <xf numFmtId="0" fontId="42" fillId="0" borderId="50" xfId="0" applyFont="1" applyBorder="1" applyAlignment="1">
      <alignment horizontal="center" wrapText="1"/>
    </xf>
    <xf numFmtId="0" fontId="42" fillId="0" borderId="51" xfId="0" applyFont="1" applyBorder="1" applyAlignment="1">
      <alignment horizontal="center" wrapText="1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56" fillId="0" borderId="4" xfId="0" applyFont="1" applyBorder="1" applyAlignment="1">
      <alignment horizontal="center" wrapText="1"/>
    </xf>
    <xf numFmtId="0" fontId="56" fillId="2" borderId="61" xfId="0" applyFont="1" applyFill="1" applyBorder="1" applyAlignment="1">
      <alignment horizontal="center" wrapText="1"/>
    </xf>
    <xf numFmtId="0" fontId="25" fillId="0" borderId="66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3" fontId="25" fillId="0" borderId="19" xfId="0" applyNumberFormat="1" applyFont="1" applyBorder="1" applyAlignment="1">
      <alignment horizontal="center"/>
    </xf>
    <xf numFmtId="0" fontId="56" fillId="0" borderId="13" xfId="0" applyFont="1" applyBorder="1" applyAlignment="1">
      <alignment horizontal="center" wrapText="1"/>
    </xf>
    <xf numFmtId="0" fontId="25" fillId="0" borderId="17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3" fontId="25" fillId="0" borderId="6" xfId="0" applyNumberFormat="1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 horizontal="center"/>
    </xf>
    <xf numFmtId="0" fontId="56" fillId="0" borderId="6" xfId="0" applyFont="1" applyBorder="1" applyAlignment="1">
      <alignment horizontal="center" wrapText="1"/>
    </xf>
    <xf numFmtId="0" fontId="24" fillId="0" borderId="19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0" xfId="0" applyFont="1"/>
    <xf numFmtId="2" fontId="24" fillId="0" borderId="19" xfId="0" applyNumberFormat="1" applyFont="1" applyBorder="1" applyAlignment="1">
      <alignment horizontal="center"/>
    </xf>
    <xf numFmtId="0" fontId="57" fillId="0" borderId="0" xfId="0" applyFont="1"/>
    <xf numFmtId="0" fontId="22" fillId="4" borderId="6" xfId="0" applyFont="1" applyFill="1" applyBorder="1" applyAlignment="1">
      <alignment horizontal="center" vertical="center" wrapText="1"/>
    </xf>
    <xf numFmtId="1" fontId="0" fillId="0" borderId="0" xfId="0" applyNumberFormat="1"/>
    <xf numFmtId="2" fontId="41" fillId="2" borderId="9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4" fontId="27" fillId="3" borderId="11" xfId="0" applyNumberFormat="1" applyFont="1" applyFill="1" applyBorder="1" applyAlignment="1">
      <alignment vertical="center" wrapText="1" shrinkToFit="1"/>
    </xf>
    <xf numFmtId="0" fontId="27" fillId="0" borderId="6" xfId="0" applyFont="1" applyBorder="1" applyAlignment="1">
      <alignment vertical="center"/>
    </xf>
    <xf numFmtId="0" fontId="0" fillId="2" borderId="0" xfId="0" applyFill="1" applyAlignment="1"/>
    <xf numFmtId="0" fontId="59" fillId="0" borderId="27" xfId="0" applyFont="1" applyBorder="1" applyAlignment="1">
      <alignment horizontal="center"/>
    </xf>
    <xf numFmtId="2" fontId="27" fillId="0" borderId="6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/>
    </xf>
    <xf numFmtId="2" fontId="27" fillId="2" borderId="8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7" fillId="2" borderId="19" xfId="0" applyFont="1" applyFill="1" applyBorder="1" applyAlignment="1">
      <alignment horizontal="center" vertical="center" wrapText="1"/>
    </xf>
    <xf numFmtId="2" fontId="27" fillId="2" borderId="19" xfId="0" applyNumberFormat="1" applyFont="1" applyFill="1" applyBorder="1" applyAlignment="1">
      <alignment horizontal="center" vertical="center" wrapText="1"/>
    </xf>
    <xf numFmtId="0" fontId="60" fillId="0" borderId="0" xfId="0" applyFont="1"/>
    <xf numFmtId="0" fontId="25" fillId="2" borderId="18" xfId="0" applyFont="1" applyFill="1" applyBorder="1" applyAlignment="1">
      <alignment horizontal="center" vertical="center" textRotation="90" wrapText="1"/>
    </xf>
    <xf numFmtId="0" fontId="25" fillId="2" borderId="18" xfId="0" applyFont="1" applyFill="1" applyBorder="1" applyAlignment="1">
      <alignment horizontal="center" vertical="center" textRotation="90"/>
    </xf>
    <xf numFmtId="2" fontId="0" fillId="0" borderId="0" xfId="0" applyNumberFormat="1" applyFont="1" applyAlignment="1">
      <alignment horizontal="center" vertical="center" wrapText="1"/>
    </xf>
    <xf numFmtId="2" fontId="44" fillId="0" borderId="33" xfId="0" applyNumberFormat="1" applyFont="1" applyBorder="1" applyAlignment="1">
      <alignment horizontal="center" vertical="center" wrapText="1"/>
    </xf>
    <xf numFmtId="2" fontId="44" fillId="0" borderId="29" xfId="0" applyNumberFormat="1" applyFont="1" applyBorder="1" applyAlignment="1">
      <alignment horizontal="center" vertical="center" wrapText="1"/>
    </xf>
    <xf numFmtId="2" fontId="41" fillId="2" borderId="0" xfId="0" applyNumberFormat="1" applyFont="1" applyFill="1" applyBorder="1" applyAlignment="1">
      <alignment horizontal="center" vertical="center" wrapText="1"/>
    </xf>
    <xf numFmtId="2" fontId="41" fillId="2" borderId="37" xfId="0" applyNumberFormat="1" applyFont="1" applyFill="1" applyBorder="1" applyAlignment="1">
      <alignment horizontal="center" vertical="center" wrapText="1"/>
    </xf>
    <xf numFmtId="2" fontId="41" fillId="2" borderId="34" xfId="0" applyNumberFormat="1" applyFont="1" applyFill="1" applyBorder="1" applyAlignment="1">
      <alignment horizontal="center" vertical="center" wrapText="1"/>
    </xf>
    <xf numFmtId="2" fontId="41" fillId="2" borderId="54" xfId="0" applyNumberFormat="1" applyFont="1" applyFill="1" applyBorder="1" applyAlignment="1">
      <alignment horizontal="center" vertical="center" wrapText="1"/>
    </xf>
    <xf numFmtId="2" fontId="41" fillId="2" borderId="15" xfId="0" applyNumberFormat="1" applyFont="1" applyFill="1" applyBorder="1" applyAlignment="1">
      <alignment horizontal="center" vertical="center" wrapText="1"/>
    </xf>
    <xf numFmtId="2" fontId="41" fillId="2" borderId="89" xfId="0" applyNumberFormat="1" applyFont="1" applyFill="1" applyBorder="1" applyAlignment="1">
      <alignment horizontal="center" vertical="center" wrapText="1"/>
    </xf>
    <xf numFmtId="2" fontId="41" fillId="2" borderId="62" xfId="0" applyNumberFormat="1" applyFont="1" applyFill="1" applyBorder="1" applyAlignment="1">
      <alignment horizontal="center" vertical="center" wrapText="1"/>
    </xf>
    <xf numFmtId="2" fontId="41" fillId="3" borderId="31" xfId="0" applyNumberFormat="1" applyFont="1" applyFill="1" applyBorder="1" applyAlignment="1">
      <alignment horizontal="center" vertical="center" wrapText="1"/>
    </xf>
    <xf numFmtId="2" fontId="41" fillId="2" borderId="42" xfId="0" applyNumberFormat="1" applyFont="1" applyFill="1" applyBorder="1" applyAlignment="1">
      <alignment horizontal="center" vertical="center" wrapText="1"/>
    </xf>
    <xf numFmtId="2" fontId="41" fillId="2" borderId="71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41" fillId="2" borderId="55" xfId="0" applyNumberFormat="1" applyFont="1" applyFill="1" applyBorder="1" applyAlignment="1">
      <alignment horizontal="center" vertical="center" wrapText="1"/>
    </xf>
    <xf numFmtId="2" fontId="41" fillId="2" borderId="16" xfId="0" applyNumberFormat="1" applyFont="1" applyFill="1" applyBorder="1" applyAlignment="1">
      <alignment horizontal="center" vertical="center" wrapText="1"/>
    </xf>
    <xf numFmtId="2" fontId="41" fillId="2" borderId="3" xfId="0" applyNumberFormat="1" applyFont="1" applyFill="1" applyBorder="1" applyAlignment="1">
      <alignment horizontal="center" vertical="center" wrapText="1"/>
    </xf>
    <xf numFmtId="2" fontId="41" fillId="3" borderId="37" xfId="0" applyNumberFormat="1" applyFont="1" applyFill="1" applyBorder="1" applyAlignment="1">
      <alignment horizontal="center" vertical="center" wrapText="1"/>
    </xf>
    <xf numFmtId="2" fontId="41" fillId="3" borderId="91" xfId="0" applyNumberFormat="1" applyFont="1" applyFill="1" applyBorder="1" applyAlignment="1">
      <alignment horizontal="center" vertical="center" wrapText="1"/>
    </xf>
    <xf numFmtId="2" fontId="41" fillId="2" borderId="4" xfId="0" applyNumberFormat="1" applyFont="1" applyFill="1" applyBorder="1" applyAlignment="1">
      <alignment horizontal="center" vertical="center" wrapText="1"/>
    </xf>
    <xf numFmtId="2" fontId="41" fillId="2" borderId="1" xfId="0" applyNumberFormat="1" applyFont="1" applyFill="1" applyBorder="1" applyAlignment="1">
      <alignment horizontal="center" vertical="center" wrapText="1"/>
    </xf>
    <xf numFmtId="2" fontId="41" fillId="2" borderId="92" xfId="0" applyNumberFormat="1" applyFont="1" applyFill="1" applyBorder="1" applyAlignment="1">
      <alignment horizontal="center" vertical="center" wrapText="1"/>
    </xf>
    <xf numFmtId="2" fontId="41" fillId="3" borderId="1" xfId="0" applyNumberFormat="1" applyFont="1" applyFill="1" applyBorder="1" applyAlignment="1">
      <alignment horizontal="center" vertical="center" wrapText="1"/>
    </xf>
    <xf numFmtId="2" fontId="41" fillId="3" borderId="92" xfId="0" applyNumberFormat="1" applyFont="1" applyFill="1" applyBorder="1" applyAlignment="1">
      <alignment horizontal="center" vertical="center" wrapText="1"/>
    </xf>
    <xf numFmtId="2" fontId="41" fillId="3" borderId="4" xfId="0" applyNumberFormat="1" applyFont="1" applyFill="1" applyBorder="1" applyAlignment="1">
      <alignment horizontal="center" vertical="center" wrapText="1"/>
    </xf>
    <xf numFmtId="2" fontId="41" fillId="2" borderId="93" xfId="0" applyNumberFormat="1" applyFont="1" applyFill="1" applyBorder="1" applyAlignment="1">
      <alignment horizontal="center" vertical="center" wrapText="1"/>
    </xf>
    <xf numFmtId="2" fontId="41" fillId="2" borderId="94" xfId="0" applyNumberFormat="1" applyFont="1" applyFill="1" applyBorder="1" applyAlignment="1">
      <alignment horizontal="center" vertical="center" wrapText="1"/>
    </xf>
    <xf numFmtId="2" fontId="0" fillId="0" borderId="95" xfId="0" applyNumberFormat="1" applyFont="1" applyBorder="1" applyAlignment="1">
      <alignment horizontal="center"/>
    </xf>
    <xf numFmtId="2" fontId="41" fillId="2" borderId="96" xfId="0" applyNumberFormat="1" applyFont="1" applyFill="1" applyBorder="1" applyAlignment="1">
      <alignment horizontal="center" vertical="center" wrapText="1"/>
    </xf>
    <xf numFmtId="2" fontId="41" fillId="2" borderId="95" xfId="0" applyNumberFormat="1" applyFont="1" applyFill="1" applyBorder="1" applyAlignment="1">
      <alignment horizontal="center" vertical="center" wrapText="1"/>
    </xf>
    <xf numFmtId="2" fontId="41" fillId="2" borderId="61" xfId="0" applyNumberFormat="1" applyFont="1" applyFill="1" applyBorder="1" applyAlignment="1">
      <alignment horizontal="center" vertical="center" wrapText="1"/>
    </xf>
    <xf numFmtId="1" fontId="42" fillId="0" borderId="31" xfId="0" applyNumberFormat="1" applyFont="1" applyBorder="1" applyAlignment="1">
      <alignment horizontal="center" vertical="center" wrapText="1"/>
    </xf>
    <xf numFmtId="1" fontId="4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8" fillId="0" borderId="11" xfId="0" applyFont="1" applyBorder="1"/>
    <xf numFmtId="0" fontId="3" fillId="0" borderId="11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center"/>
    </xf>
    <xf numFmtId="0" fontId="24" fillId="0" borderId="37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56" fillId="2" borderId="7" xfId="0" applyFont="1" applyFill="1" applyBorder="1" applyAlignment="1">
      <alignment horizontal="center" vertical="center" wrapText="1"/>
    </xf>
    <xf numFmtId="0" fontId="56" fillId="2" borderId="25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horizontal="center" vertical="center" textRotation="90" wrapText="1"/>
    </xf>
    <xf numFmtId="0" fontId="56" fillId="2" borderId="14" xfId="0" applyFont="1" applyFill="1" applyBorder="1" applyAlignment="1">
      <alignment horizontal="center" vertical="center" textRotation="90" wrapText="1"/>
    </xf>
    <xf numFmtId="0" fontId="24" fillId="0" borderId="6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4" fillId="2" borderId="79" xfId="0" applyFont="1" applyFill="1" applyBorder="1" applyAlignment="1">
      <alignment horizontal="center"/>
    </xf>
    <xf numFmtId="0" fontId="24" fillId="2" borderId="21" xfId="0" applyFont="1" applyFill="1" applyBorder="1" applyAlignment="1">
      <alignment horizontal="center"/>
    </xf>
    <xf numFmtId="0" fontId="24" fillId="2" borderId="78" xfId="0" applyFont="1" applyFill="1" applyBorder="1" applyAlignment="1">
      <alignment horizontal="center"/>
    </xf>
    <xf numFmtId="0" fontId="27" fillId="0" borderId="73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left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/>
    </xf>
    <xf numFmtId="0" fontId="27" fillId="2" borderId="75" xfId="0" applyFont="1" applyFill="1" applyBorder="1" applyAlignment="1">
      <alignment horizontal="center"/>
    </xf>
    <xf numFmtId="0" fontId="27" fillId="2" borderId="72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27" fillId="2" borderId="76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70" xfId="0" applyFont="1" applyFill="1" applyBorder="1" applyAlignment="1">
      <alignment horizontal="center" vertical="center"/>
    </xf>
    <xf numFmtId="0" fontId="27" fillId="2" borderId="71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27" fillId="2" borderId="4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60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/>
    </xf>
    <xf numFmtId="2" fontId="27" fillId="0" borderId="6" xfId="0" applyNumberFormat="1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/>
    </xf>
    <xf numFmtId="0" fontId="27" fillId="0" borderId="69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2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5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2" fontId="27" fillId="0" borderId="52" xfId="0" applyNumberFormat="1" applyFont="1" applyBorder="1" applyAlignment="1">
      <alignment horizontal="center" vertical="center" wrapText="1"/>
    </xf>
    <xf numFmtId="2" fontId="27" fillId="0" borderId="53" xfId="0" applyNumberFormat="1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32" fillId="2" borderId="0" xfId="0" applyFont="1" applyFill="1" applyBorder="1" applyAlignment="1">
      <alignment horizontal="left" wrapText="1"/>
    </xf>
    <xf numFmtId="0" fontId="27" fillId="2" borderId="76" xfId="0" applyFont="1" applyFill="1" applyBorder="1" applyAlignment="1">
      <alignment horizontal="left" vertical="top" wrapText="1"/>
    </xf>
    <xf numFmtId="0" fontId="27" fillId="2" borderId="16" xfId="0" applyFont="1" applyFill="1" applyBorder="1" applyAlignment="1">
      <alignment horizontal="left" vertical="top" wrapText="1"/>
    </xf>
    <xf numFmtId="0" fontId="27" fillId="2" borderId="17" xfId="0" applyFont="1" applyFill="1" applyBorder="1" applyAlignment="1">
      <alignment horizontal="left" vertical="top" wrapText="1"/>
    </xf>
    <xf numFmtId="2" fontId="27" fillId="0" borderId="72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0" fontId="27" fillId="2" borderId="57" xfId="0" applyFont="1" applyFill="1" applyBorder="1" applyAlignment="1">
      <alignment horizontal="center" wrapText="1"/>
    </xf>
    <xf numFmtId="0" fontId="27" fillId="2" borderId="58" xfId="0" applyFont="1" applyFill="1" applyBorder="1" applyAlignment="1">
      <alignment horizontal="center" wrapText="1"/>
    </xf>
    <xf numFmtId="0" fontId="27" fillId="2" borderId="59" xfId="0" applyFont="1" applyFill="1" applyBorder="1" applyAlignment="1">
      <alignment horizontal="center" wrapText="1"/>
    </xf>
    <xf numFmtId="0" fontId="27" fillId="2" borderId="24" xfId="0" applyFont="1" applyFill="1" applyBorder="1" applyAlignment="1">
      <alignment horizontal="center" vertical="top" wrapText="1"/>
    </xf>
    <xf numFmtId="0" fontId="27" fillId="2" borderId="19" xfId="0" applyFont="1" applyFill="1" applyBorder="1" applyAlignment="1">
      <alignment horizontal="center" vertical="top" wrapText="1"/>
    </xf>
    <xf numFmtId="0" fontId="32" fillId="2" borderId="0" xfId="0" applyNumberFormat="1" applyFont="1" applyFill="1" applyBorder="1" applyAlignment="1">
      <alignment horizontal="left" wrapText="1"/>
    </xf>
    <xf numFmtId="0" fontId="27" fillId="2" borderId="76" xfId="0" applyFont="1" applyFill="1" applyBorder="1" applyAlignment="1">
      <alignment horizontal="center" wrapText="1"/>
    </xf>
    <xf numFmtId="0" fontId="27" fillId="2" borderId="16" xfId="0" applyFont="1" applyFill="1" applyBorder="1" applyAlignment="1">
      <alignment horizontal="center" wrapText="1"/>
    </xf>
    <xf numFmtId="0" fontId="27" fillId="2" borderId="17" xfId="0" applyFont="1" applyFill="1" applyBorder="1" applyAlignment="1">
      <alignment horizontal="center" wrapText="1"/>
    </xf>
    <xf numFmtId="0" fontId="27" fillId="0" borderId="7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2" borderId="74" xfId="0" applyFont="1" applyFill="1" applyBorder="1" applyAlignment="1">
      <alignment horizontal="center" vertical="top" wrapText="1"/>
    </xf>
    <xf numFmtId="0" fontId="27" fillId="2" borderId="6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27" fillId="0" borderId="2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49" fontId="32" fillId="2" borderId="0" xfId="0" applyNumberFormat="1" applyFont="1" applyFill="1" applyBorder="1" applyAlignment="1">
      <alignment horizontal="left" wrapText="1"/>
    </xf>
    <xf numFmtId="2" fontId="27" fillId="0" borderId="69" xfId="0" applyNumberFormat="1" applyFont="1" applyBorder="1" applyAlignment="1">
      <alignment horizontal="center" vertical="center" wrapText="1"/>
    </xf>
    <xf numFmtId="0" fontId="27" fillId="2" borderId="57" xfId="0" applyFont="1" applyFill="1" applyBorder="1" applyAlignment="1">
      <alignment horizontal="center" vertical="top" wrapText="1"/>
    </xf>
    <xf numFmtId="0" fontId="27" fillId="2" borderId="58" xfId="0" applyFont="1" applyFill="1" applyBorder="1" applyAlignment="1">
      <alignment horizontal="center" vertical="top" wrapText="1"/>
    </xf>
    <xf numFmtId="0" fontId="27" fillId="2" borderId="59" xfId="0" applyFont="1" applyFill="1" applyBorder="1" applyAlignment="1">
      <alignment horizontal="center" vertical="top" wrapText="1"/>
    </xf>
    <xf numFmtId="0" fontId="27" fillId="0" borderId="67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27" fillId="2" borderId="76" xfId="0" applyFont="1" applyFill="1" applyBorder="1" applyAlignment="1">
      <alignment horizontal="center" vertical="top" wrapText="1"/>
    </xf>
    <xf numFmtId="0" fontId="27" fillId="2" borderId="16" xfId="0" applyFont="1" applyFill="1" applyBorder="1" applyAlignment="1">
      <alignment horizontal="center" vertical="top" wrapText="1"/>
    </xf>
    <xf numFmtId="0" fontId="27" fillId="2" borderId="17" xfId="0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4" fillId="2" borderId="76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 vertical="center" wrapText="1"/>
    </xf>
    <xf numFmtId="0" fontId="34" fillId="2" borderId="57" xfId="0" applyFont="1" applyFill="1" applyBorder="1" applyAlignment="1">
      <alignment horizontal="center" vertical="center" wrapText="1"/>
    </xf>
    <xf numFmtId="0" fontId="34" fillId="2" borderId="58" xfId="0" applyFont="1" applyFill="1" applyBorder="1" applyAlignment="1">
      <alignment horizontal="center" vertical="center" wrapText="1"/>
    </xf>
    <xf numFmtId="0" fontId="34" fillId="2" borderId="59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left" wrapText="1"/>
    </xf>
    <xf numFmtId="0" fontId="42" fillId="0" borderId="39" xfId="0" applyFont="1" applyBorder="1" applyAlignment="1">
      <alignment horizontal="left" wrapText="1"/>
    </xf>
    <xf numFmtId="0" fontId="42" fillId="0" borderId="38" xfId="0" applyFont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44" fillId="0" borderId="37" xfId="0" applyFont="1" applyBorder="1" applyAlignment="1">
      <alignment horizontal="left" wrapText="1"/>
    </xf>
    <xf numFmtId="0" fontId="44" fillId="0" borderId="39" xfId="0" applyFont="1" applyBorder="1" applyAlignment="1">
      <alignment horizontal="left" wrapText="1"/>
    </xf>
    <xf numFmtId="0" fontId="44" fillId="0" borderId="38" xfId="0" applyFont="1" applyBorder="1" applyAlignment="1">
      <alignment horizontal="left" wrapText="1"/>
    </xf>
    <xf numFmtId="0" fontId="44" fillId="0" borderId="37" xfId="0" applyFont="1" applyBorder="1" applyAlignment="1">
      <alignment horizontal="center" vertical="top" wrapText="1"/>
    </xf>
    <xf numFmtId="0" fontId="44" fillId="0" borderId="39" xfId="0" applyFont="1" applyBorder="1" applyAlignment="1">
      <alignment horizontal="center" vertical="top" wrapText="1"/>
    </xf>
    <xf numFmtId="0" fontId="44" fillId="0" borderId="38" xfId="0" applyFont="1" applyBorder="1" applyAlignment="1">
      <alignment horizontal="center" vertical="top" wrapText="1"/>
    </xf>
    <xf numFmtId="0" fontId="42" fillId="0" borderId="37" xfId="0" applyFont="1" applyBorder="1" applyAlignment="1">
      <alignment horizontal="center" vertical="top" wrapText="1"/>
    </xf>
    <xf numFmtId="0" fontId="42" fillId="0" borderId="39" xfId="0" applyFont="1" applyBorder="1" applyAlignment="1">
      <alignment horizontal="center" vertical="top" wrapText="1"/>
    </xf>
    <xf numFmtId="0" fontId="42" fillId="0" borderId="38" xfId="0" applyFont="1" applyBorder="1" applyAlignment="1">
      <alignment horizontal="center" vertical="top" wrapText="1"/>
    </xf>
    <xf numFmtId="0" fontId="46" fillId="0" borderId="46" xfId="0" applyFont="1" applyBorder="1" applyAlignment="1">
      <alignment horizontal="center" vertical="top" wrapText="1"/>
    </xf>
    <xf numFmtId="0" fontId="46" fillId="0" borderId="47" xfId="0" applyFont="1" applyBorder="1" applyAlignment="1">
      <alignment horizontal="center" vertical="top" wrapText="1"/>
    </xf>
    <xf numFmtId="0" fontId="46" fillId="0" borderId="87" xfId="0" applyFont="1" applyBorder="1" applyAlignment="1">
      <alignment horizontal="center" vertical="top" wrapText="1"/>
    </xf>
    <xf numFmtId="0" fontId="42" fillId="0" borderId="35" xfId="0" applyFont="1" applyBorder="1" applyAlignment="1">
      <alignment vertical="top" wrapText="1"/>
    </xf>
    <xf numFmtId="0" fontId="42" fillId="0" borderId="36" xfId="0" applyFont="1" applyBorder="1" applyAlignment="1">
      <alignment vertical="top" wrapText="1"/>
    </xf>
    <xf numFmtId="0" fontId="42" fillId="0" borderId="32" xfId="0" applyFont="1" applyBorder="1" applyAlignment="1">
      <alignment vertical="top" wrapText="1"/>
    </xf>
    <xf numFmtId="0" fontId="22" fillId="4" borderId="6" xfId="0" applyFont="1" applyFill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top" wrapText="1"/>
    </xf>
    <xf numFmtId="0" fontId="42" fillId="0" borderId="3" xfId="0" applyFont="1" applyBorder="1" applyAlignment="1">
      <alignment horizontal="center" vertical="top" wrapText="1"/>
    </xf>
    <xf numFmtId="0" fontId="42" fillId="0" borderId="2" xfId="0" applyFont="1" applyBorder="1" applyAlignment="1">
      <alignment horizontal="center" vertical="top" wrapText="1"/>
    </xf>
    <xf numFmtId="2" fontId="41" fillId="3" borderId="92" xfId="0" applyNumberFormat="1" applyFont="1" applyFill="1" applyBorder="1" applyAlignment="1">
      <alignment horizontal="center" vertical="center" wrapText="1"/>
    </xf>
    <xf numFmtId="2" fontId="41" fillId="3" borderId="4" xfId="0" applyNumberFormat="1" applyFont="1" applyFill="1" applyBorder="1" applyAlignment="1">
      <alignment horizontal="center" vertical="center" wrapText="1"/>
    </xf>
    <xf numFmtId="0" fontId="42" fillId="0" borderId="37" xfId="0" applyFont="1" applyBorder="1" applyAlignment="1">
      <alignment vertical="top" wrapText="1"/>
    </xf>
    <xf numFmtId="0" fontId="42" fillId="0" borderId="39" xfId="0" applyFont="1" applyBorder="1" applyAlignment="1">
      <alignment vertical="top" wrapText="1"/>
    </xf>
    <xf numFmtId="0" fontId="42" fillId="0" borderId="38" xfId="0" applyFont="1" applyBorder="1" applyAlignment="1">
      <alignment vertical="top" wrapText="1"/>
    </xf>
    <xf numFmtId="0" fontId="42" fillId="0" borderId="46" xfId="0" applyFont="1" applyBorder="1" applyAlignment="1">
      <alignment horizontal="left" vertical="top" wrapText="1"/>
    </xf>
    <xf numFmtId="0" fontId="42" fillId="0" borderId="47" xfId="0" applyFont="1" applyBorder="1" applyAlignment="1">
      <alignment horizontal="left" vertical="top" wrapText="1"/>
    </xf>
    <xf numFmtId="0" fontId="42" fillId="0" borderId="83" xfId="0" applyFont="1" applyBorder="1" applyAlignment="1">
      <alignment horizontal="left" vertical="top" wrapText="1"/>
    </xf>
    <xf numFmtId="0" fontId="44" fillId="0" borderId="35" xfId="0" applyFont="1" applyBorder="1" applyAlignment="1">
      <alignment vertical="top" wrapText="1"/>
    </xf>
    <xf numFmtId="0" fontId="44" fillId="0" borderId="36" xfId="0" applyFont="1" applyBorder="1" applyAlignment="1">
      <alignment vertical="top" wrapText="1"/>
    </xf>
    <xf numFmtId="0" fontId="44" fillId="0" borderId="32" xfId="0" applyFont="1" applyBorder="1" applyAlignment="1">
      <alignment vertical="top" wrapText="1"/>
    </xf>
    <xf numFmtId="0" fontId="46" fillId="0" borderId="80" xfId="0" applyFont="1" applyBorder="1" applyAlignment="1">
      <alignment vertical="top" wrapText="1"/>
    </xf>
    <xf numFmtId="0" fontId="46" fillId="0" borderId="81" xfId="0" applyFont="1" applyBorder="1" applyAlignment="1">
      <alignment vertical="top" wrapText="1"/>
    </xf>
    <xf numFmtId="0" fontId="46" fillId="0" borderId="82" xfId="0" applyFont="1" applyBorder="1" applyAlignment="1">
      <alignment vertical="top" wrapText="1"/>
    </xf>
    <xf numFmtId="0" fontId="44" fillId="0" borderId="54" xfId="0" applyFont="1" applyBorder="1" applyAlignment="1">
      <alignment vertical="top" wrapText="1"/>
    </xf>
    <xf numFmtId="0" fontId="44" fillId="0" borderId="39" xfId="0" applyFont="1" applyBorder="1" applyAlignment="1">
      <alignment vertical="top" wrapText="1"/>
    </xf>
    <xf numFmtId="0" fontId="44" fillId="0" borderId="45" xfId="0" applyFont="1" applyBorder="1" applyAlignment="1">
      <alignment vertical="top" wrapText="1"/>
    </xf>
    <xf numFmtId="0" fontId="42" fillId="0" borderId="54" xfId="0" applyFont="1" applyBorder="1" applyAlignment="1">
      <alignment horizontal="left" vertical="top" wrapText="1"/>
    </xf>
    <xf numFmtId="0" fontId="42" fillId="0" borderId="39" xfId="0" applyFont="1" applyBorder="1" applyAlignment="1">
      <alignment horizontal="left" vertical="top" wrapText="1"/>
    </xf>
    <xf numFmtId="0" fontId="42" fillId="0" borderId="45" xfId="0" applyFont="1" applyBorder="1" applyAlignment="1">
      <alignment horizontal="left" vertical="top" wrapText="1"/>
    </xf>
    <xf numFmtId="0" fontId="18" fillId="0" borderId="40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41" xfId="0" applyFont="1" applyBorder="1" applyAlignment="1">
      <alignment vertical="top" wrapText="1"/>
    </xf>
    <xf numFmtId="0" fontId="18" fillId="0" borderId="42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2" fontId="44" fillId="0" borderId="86" xfId="0" applyNumberFormat="1" applyFont="1" applyBorder="1" applyAlignment="1">
      <alignment horizontal="center" vertical="center" wrapText="1"/>
    </xf>
    <xf numFmtId="2" fontId="44" fillId="0" borderId="90" xfId="0" applyNumberFormat="1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2" fillId="0" borderId="88" xfId="0" applyFont="1" applyBorder="1" applyAlignment="1">
      <alignment vertical="top" wrapText="1"/>
    </xf>
    <xf numFmtId="0" fontId="42" fillId="0" borderId="3" xfId="0" applyFont="1" applyBorder="1" applyAlignment="1">
      <alignment vertical="top" wrapText="1"/>
    </xf>
    <xf numFmtId="0" fontId="42" fillId="0" borderId="48" xfId="0" applyFont="1" applyBorder="1" applyAlignment="1">
      <alignment vertical="top" wrapText="1"/>
    </xf>
    <xf numFmtId="0" fontId="42" fillId="0" borderId="84" xfId="0" applyFont="1" applyBorder="1" applyAlignment="1">
      <alignment vertical="top" wrapText="1"/>
    </xf>
    <xf numFmtId="0" fontId="42" fillId="0" borderId="5" xfId="0" applyFont="1" applyBorder="1" applyAlignment="1">
      <alignment vertical="top" wrapText="1"/>
    </xf>
    <xf numFmtId="0" fontId="42" fillId="0" borderId="85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41" fillId="0" borderId="15" xfId="0" applyFont="1" applyBorder="1" applyAlignment="1">
      <alignment horizontal="center" vertical="center" wrapText="1"/>
    </xf>
    <xf numFmtId="0" fontId="41" fillId="0" borderId="97" xfId="0" applyFont="1" applyBorder="1" applyAlignment="1">
      <alignment horizontal="center" vertical="center" wrapText="1"/>
    </xf>
    <xf numFmtId="0" fontId="41" fillId="0" borderId="98" xfId="0" applyFont="1" applyBorder="1" applyAlignment="1">
      <alignment horizontal="center" vertical="center" wrapText="1"/>
    </xf>
    <xf numFmtId="0" fontId="41" fillId="0" borderId="99" xfId="0" applyFont="1" applyBorder="1" applyAlignment="1">
      <alignment horizontal="center" vertical="center" wrapText="1"/>
    </xf>
    <xf numFmtId="0" fontId="41" fillId="0" borderId="79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6" fillId="0" borderId="54" xfId="0" applyFont="1" applyBorder="1" applyAlignment="1">
      <alignment vertical="top" wrapText="1"/>
    </xf>
    <xf numFmtId="0" fontId="46" fillId="0" borderId="39" xfId="0" applyFont="1" applyBorder="1" applyAlignment="1">
      <alignment vertical="top" wrapText="1"/>
    </xf>
    <xf numFmtId="0" fontId="46" fillId="0" borderId="38" xfId="0" applyFont="1" applyBorder="1" applyAlignment="1">
      <alignment vertical="top" wrapText="1"/>
    </xf>
    <xf numFmtId="0" fontId="41" fillId="0" borderId="37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2" fontId="41" fillId="2" borderId="13" xfId="0" applyNumberFormat="1" applyFont="1" applyFill="1" applyBorder="1" applyAlignment="1">
      <alignment horizontal="center" vertical="center" wrapText="1"/>
    </xf>
    <xf numFmtId="2" fontId="41" fillId="2" borderId="4" xfId="0" applyNumberFormat="1" applyFont="1" applyFill="1" applyBorder="1" applyAlignment="1">
      <alignment horizontal="center" vertical="center" wrapText="1"/>
    </xf>
    <xf numFmtId="2" fontId="41" fillId="2" borderId="6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4" fillId="0" borderId="46" xfId="0" applyFont="1" applyBorder="1" applyAlignment="1">
      <alignment vertical="top" wrapText="1"/>
    </xf>
    <xf numFmtId="0" fontId="44" fillId="0" borderId="47" xfId="0" applyFont="1" applyBorder="1" applyAlignment="1">
      <alignment vertical="top" wrapText="1"/>
    </xf>
    <xf numFmtId="0" fontId="44" fillId="0" borderId="83" xfId="0" applyFont="1" applyBorder="1" applyAlignment="1">
      <alignment vertical="top" wrapText="1"/>
    </xf>
    <xf numFmtId="0" fontId="50" fillId="0" borderId="0" xfId="0" applyFont="1" applyBorder="1" applyAlignment="1">
      <alignment horizontal="center" vertical="center"/>
    </xf>
    <xf numFmtId="0" fontId="46" fillId="0" borderId="84" xfId="0" applyFont="1" applyBorder="1" applyAlignment="1">
      <alignment vertical="top" wrapText="1"/>
    </xf>
    <xf numFmtId="0" fontId="46" fillId="0" borderId="5" xfId="0" applyFont="1" applyBorder="1" applyAlignment="1">
      <alignment vertical="top" wrapText="1"/>
    </xf>
    <xf numFmtId="0" fontId="46" fillId="0" borderId="41" xfId="0" applyFont="1" applyBorder="1" applyAlignment="1">
      <alignment vertical="top" wrapText="1"/>
    </xf>
    <xf numFmtId="0" fontId="26" fillId="0" borderId="98" xfId="0" applyFont="1" applyBorder="1" applyAlignment="1">
      <alignment horizontal="center" vertical="center" textRotation="90" wrapText="1"/>
    </xf>
    <xf numFmtId="0" fontId="26" fillId="0" borderId="6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2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38</xdr:row>
      <xdr:rowOff>0</xdr:rowOff>
    </xdr:from>
    <xdr:to>
      <xdr:col>5</xdr:col>
      <xdr:colOff>7620</xdr:colOff>
      <xdr:row>38</xdr:row>
      <xdr:rowOff>533400</xdr:rowOff>
    </xdr:to>
    <xdr:grpSp>
      <xdr:nvGrpSpPr>
        <xdr:cNvPr id="2049" name="Group 50675"/>
        <xdr:cNvGrpSpPr>
          <a:grpSpLocks/>
        </xdr:cNvGrpSpPr>
      </xdr:nvGrpSpPr>
      <xdr:grpSpPr bwMode="auto">
        <a:xfrm>
          <a:off x="4867275" y="13287375"/>
          <a:ext cx="7620" cy="533400"/>
          <a:chOff x="0" y="0"/>
          <a:chExt cx="106" cy="5318"/>
        </a:xfrm>
      </xdr:grpSpPr>
      <xdr:sp macro="" textlink="">
        <xdr:nvSpPr>
          <xdr:cNvPr id="2051" name="Shape 59626"/>
          <xdr:cNvSpPr>
            <a:spLocks/>
          </xdr:cNvSpPr>
        </xdr:nvSpPr>
        <xdr:spPr bwMode="auto">
          <a:xfrm>
            <a:off x="0" y="0"/>
            <a:ext cx="106" cy="167"/>
          </a:xfrm>
          <a:custGeom>
            <a:avLst/>
            <a:gdLst>
              <a:gd name="T0" fmla="*/ 0 w 10668"/>
              <a:gd name="T1" fmla="*/ 0 h 16764"/>
              <a:gd name="T2" fmla="*/ 10668 w 10668"/>
              <a:gd name="T3" fmla="*/ 0 h 16764"/>
              <a:gd name="T4" fmla="*/ 10668 w 10668"/>
              <a:gd name="T5" fmla="*/ 16764 h 16764"/>
              <a:gd name="T6" fmla="*/ 0 w 10668"/>
              <a:gd name="T7" fmla="*/ 16764 h 16764"/>
              <a:gd name="T8" fmla="*/ 0 w 10668"/>
              <a:gd name="T9" fmla="*/ 0 h 16764"/>
              <a:gd name="T10" fmla="*/ 0 w 10668"/>
              <a:gd name="T11" fmla="*/ 0 h 16764"/>
              <a:gd name="T12" fmla="*/ 10668 w 10668"/>
              <a:gd name="T13" fmla="*/ 16764 h 167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10668" h="16764">
                <a:moveTo>
                  <a:pt x="0" y="0"/>
                </a:moveTo>
                <a:lnTo>
                  <a:pt x="10668" y="0"/>
                </a:lnTo>
                <a:lnTo>
                  <a:pt x="10668" y="16764"/>
                </a:lnTo>
                <a:lnTo>
                  <a:pt x="0" y="16764"/>
                </a:lnTo>
                <a:lnTo>
                  <a:pt x="0" y="0"/>
                </a:lnTo>
              </a:path>
            </a:pathLst>
          </a:custGeom>
          <a:solidFill>
            <a:srgbClr val="000000"/>
          </a:solidFill>
          <a:ln w="0">
            <a:noFill/>
            <a:miter lim="127000"/>
            <a:headEnd/>
            <a:tailEnd/>
          </a:ln>
        </xdr:spPr>
      </xdr:sp>
      <xdr:sp macro="" textlink="">
        <xdr:nvSpPr>
          <xdr:cNvPr id="2050" name="Shape 59627"/>
          <xdr:cNvSpPr>
            <a:spLocks/>
          </xdr:cNvSpPr>
        </xdr:nvSpPr>
        <xdr:spPr bwMode="auto">
          <a:xfrm>
            <a:off x="0" y="167"/>
            <a:ext cx="106" cy="5151"/>
          </a:xfrm>
          <a:custGeom>
            <a:avLst/>
            <a:gdLst>
              <a:gd name="T0" fmla="*/ 0 w 10668"/>
              <a:gd name="T1" fmla="*/ 0 h 515112"/>
              <a:gd name="T2" fmla="*/ 10668 w 10668"/>
              <a:gd name="T3" fmla="*/ 0 h 515112"/>
              <a:gd name="T4" fmla="*/ 10668 w 10668"/>
              <a:gd name="T5" fmla="*/ 515112 h 515112"/>
              <a:gd name="T6" fmla="*/ 0 w 10668"/>
              <a:gd name="T7" fmla="*/ 515112 h 515112"/>
              <a:gd name="T8" fmla="*/ 0 w 10668"/>
              <a:gd name="T9" fmla="*/ 0 h 515112"/>
              <a:gd name="T10" fmla="*/ 0 w 10668"/>
              <a:gd name="T11" fmla="*/ 0 h 515112"/>
              <a:gd name="T12" fmla="*/ 10668 w 10668"/>
              <a:gd name="T13" fmla="*/ 515112 h 515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10668" h="515112">
                <a:moveTo>
                  <a:pt x="0" y="0"/>
                </a:moveTo>
                <a:lnTo>
                  <a:pt x="10668" y="0"/>
                </a:lnTo>
                <a:lnTo>
                  <a:pt x="10668" y="515112"/>
                </a:lnTo>
                <a:lnTo>
                  <a:pt x="0" y="515112"/>
                </a:lnTo>
                <a:lnTo>
                  <a:pt x="0" y="0"/>
                </a:lnTo>
              </a:path>
            </a:pathLst>
          </a:custGeom>
          <a:solidFill>
            <a:srgbClr val="000000"/>
          </a:solidFill>
          <a:ln w="0">
            <a:noFill/>
            <a:miter lim="127000"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0</xdr:rowOff>
        </xdr:from>
        <xdr:to>
          <xdr:col>11</xdr:col>
          <xdr:colOff>304800</xdr:colOff>
          <xdr:row>34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0</xdr:rowOff>
        </xdr:from>
        <xdr:to>
          <xdr:col>11</xdr:col>
          <xdr:colOff>304800</xdr:colOff>
          <xdr:row>34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0</xdr:rowOff>
        </xdr:from>
        <xdr:to>
          <xdr:col>11</xdr:col>
          <xdr:colOff>304800</xdr:colOff>
          <xdr:row>34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7"/>
  <sheetViews>
    <sheetView topLeftCell="K10" zoomScale="145" zoomScaleNormal="145" workbookViewId="0">
      <selection activeCell="X21" sqref="X21"/>
    </sheetView>
  </sheetViews>
  <sheetFormatPr defaultRowHeight="15"/>
  <cols>
    <col min="1" max="1" width="4" customWidth="1"/>
    <col min="2" max="2" width="15" customWidth="1"/>
    <col min="3" max="3" width="6.85546875" customWidth="1"/>
    <col min="4" max="4" width="8.85546875" customWidth="1"/>
    <col min="5" max="5" width="10.5703125" customWidth="1"/>
    <col min="6" max="6" width="8.42578125" customWidth="1"/>
    <col min="8" max="8" width="10" customWidth="1"/>
    <col min="13" max="13" width="5.7109375" customWidth="1"/>
    <col min="14" max="14" width="5.28515625" customWidth="1"/>
    <col min="15" max="15" width="7" customWidth="1"/>
    <col min="16" max="16" width="9.140625" style="23"/>
    <col min="24" max="24" width="6.42578125" customWidth="1"/>
  </cols>
  <sheetData>
    <row r="2" spans="1:16">
      <c r="A2" s="259" t="s">
        <v>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6" ht="15.75" thickBot="1">
      <c r="A3" s="260" t="s">
        <v>178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6" ht="15.6" customHeight="1">
      <c r="A4" s="261" t="s">
        <v>0</v>
      </c>
      <c r="B4" s="263" t="s">
        <v>1</v>
      </c>
      <c r="C4" s="263" t="s">
        <v>2</v>
      </c>
      <c r="D4" s="263" t="s">
        <v>3</v>
      </c>
      <c r="E4" s="263" t="s">
        <v>4</v>
      </c>
      <c r="F4" s="263" t="s">
        <v>5</v>
      </c>
      <c r="G4" s="263" t="s">
        <v>14</v>
      </c>
      <c r="H4" s="263" t="s">
        <v>13</v>
      </c>
      <c r="I4" s="263" t="s">
        <v>15</v>
      </c>
      <c r="J4" s="263" t="s">
        <v>6</v>
      </c>
      <c r="K4" s="263" t="s">
        <v>7</v>
      </c>
      <c r="L4" s="263" t="s">
        <v>50</v>
      </c>
      <c r="M4" s="266" t="s">
        <v>9</v>
      </c>
      <c r="N4" s="266"/>
      <c r="O4" s="267"/>
    </row>
    <row r="5" spans="1:16" ht="70.150000000000006" customHeight="1" thickBot="1">
      <c r="A5" s="262"/>
      <c r="B5" s="264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1" t="s">
        <v>10</v>
      </c>
      <c r="N5" s="1" t="s">
        <v>11</v>
      </c>
      <c r="O5" s="520" t="s">
        <v>12</v>
      </c>
      <c r="P5" s="521" t="s">
        <v>336</v>
      </c>
    </row>
    <row r="6" spans="1:16" ht="17.25" thickBot="1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8">
        <v>12</v>
      </c>
      <c r="M6" s="15">
        <v>13</v>
      </c>
      <c r="N6" s="19">
        <v>14</v>
      </c>
      <c r="O6" s="20">
        <v>15</v>
      </c>
      <c r="P6" s="20">
        <v>16</v>
      </c>
    </row>
    <row r="7" spans="1:16" ht="16.5" thickBot="1">
      <c r="A7" s="2">
        <v>1</v>
      </c>
      <c r="B7" s="7" t="s">
        <v>17</v>
      </c>
      <c r="C7" s="35">
        <v>3000</v>
      </c>
      <c r="D7" s="34">
        <f>'სხვა განაცემები'!R6</f>
        <v>2923.3333333333335</v>
      </c>
      <c r="E7" s="34">
        <f>C7+D7</f>
        <v>5923.3333333333339</v>
      </c>
      <c r="F7" s="33"/>
      <c r="G7" s="34">
        <f>E7*2%</f>
        <v>118.46666666666668</v>
      </c>
      <c r="H7" s="34">
        <f>E7-G7</f>
        <v>5804.8666666666677</v>
      </c>
      <c r="I7" s="34">
        <f>H7*20%</f>
        <v>1160.9733333333336</v>
      </c>
      <c r="J7" s="34">
        <f>'სხვა განაცემები'!AH6</f>
        <v>2543.3333333333335</v>
      </c>
      <c r="K7" s="34">
        <f>G7+I7+J7</f>
        <v>3822.7733333333335</v>
      </c>
      <c r="L7" s="34">
        <f>E7-K7</f>
        <v>2100.5600000000004</v>
      </c>
      <c r="M7" s="33"/>
      <c r="N7" s="33"/>
      <c r="O7" s="33"/>
    </row>
    <row r="8" spans="1:16" ht="16.5" thickBot="1">
      <c r="A8" s="3">
        <v>2</v>
      </c>
      <c r="B8" s="7" t="s">
        <v>18</v>
      </c>
      <c r="C8" s="36">
        <v>1600</v>
      </c>
      <c r="D8" s="34">
        <f>'სხვა განაცემები'!R7</f>
        <v>872.8767123287671</v>
      </c>
      <c r="E8" s="34">
        <f t="shared" ref="E8:E14" si="0">C8+D8</f>
        <v>2472.8767123287671</v>
      </c>
      <c r="F8" s="29">
        <v>2600</v>
      </c>
      <c r="G8" s="34">
        <f t="shared" ref="G8:G10" si="1">E8*2%</f>
        <v>49.457534246575342</v>
      </c>
      <c r="H8" s="29">
        <v>0</v>
      </c>
      <c r="I8" s="33">
        <f t="shared" ref="I8:I14" si="2">H8*20%</f>
        <v>0</v>
      </c>
      <c r="J8" s="34">
        <f>'სხვა განაცემები'!AH7</f>
        <v>492.8767123287671</v>
      </c>
      <c r="K8" s="34">
        <f t="shared" ref="K8:K14" si="3">G8+I8+J8</f>
        <v>542.33424657534249</v>
      </c>
      <c r="L8" s="34">
        <f t="shared" ref="L8:L15" si="4">E8-K8</f>
        <v>1930.5424657534245</v>
      </c>
      <c r="M8" s="29"/>
      <c r="N8" s="29"/>
      <c r="O8" s="29"/>
      <c r="P8" s="522">
        <v>6000</v>
      </c>
    </row>
    <row r="9" spans="1:16" ht="16.5" thickBot="1">
      <c r="A9" s="3">
        <v>3</v>
      </c>
      <c r="B9" s="7" t="s">
        <v>84</v>
      </c>
      <c r="C9" s="36">
        <v>1800</v>
      </c>
      <c r="D9" s="33">
        <f>'სხვა განაცემები'!R8</f>
        <v>2340</v>
      </c>
      <c r="E9" s="34">
        <f t="shared" si="0"/>
        <v>4140</v>
      </c>
      <c r="F9" s="29"/>
      <c r="G9" s="34">
        <f t="shared" si="1"/>
        <v>82.8</v>
      </c>
      <c r="H9" s="30">
        <f>E9-G9</f>
        <v>4057.2</v>
      </c>
      <c r="I9" s="33">
        <f t="shared" si="2"/>
        <v>811.44</v>
      </c>
      <c r="J9" s="34">
        <f>'სხვა განაცემები'!AH8</f>
        <v>2460</v>
      </c>
      <c r="K9" s="34">
        <f t="shared" si="3"/>
        <v>3354.24</v>
      </c>
      <c r="L9" s="34">
        <f t="shared" si="4"/>
        <v>785.76000000000022</v>
      </c>
      <c r="M9" s="29"/>
      <c r="N9" s="29"/>
      <c r="O9" s="29"/>
    </row>
    <row r="10" spans="1:16" ht="16.5" thickBot="1">
      <c r="A10" s="3">
        <v>4</v>
      </c>
      <c r="B10" s="7" t="s">
        <v>23</v>
      </c>
      <c r="C10" s="36">
        <v>2400</v>
      </c>
      <c r="D10" s="33">
        <f>'სხვა განაცემები'!R9</f>
        <v>915</v>
      </c>
      <c r="E10" s="34">
        <f t="shared" si="0"/>
        <v>3315</v>
      </c>
      <c r="F10" s="29">
        <v>2100</v>
      </c>
      <c r="G10" s="34">
        <f t="shared" si="1"/>
        <v>66.3</v>
      </c>
      <c r="H10" s="30">
        <v>0</v>
      </c>
      <c r="I10" s="33">
        <f t="shared" si="2"/>
        <v>0</v>
      </c>
      <c r="J10" s="34">
        <f>'სხვა განაცემები'!AH9</f>
        <v>605</v>
      </c>
      <c r="K10" s="34">
        <f t="shared" si="3"/>
        <v>671.3</v>
      </c>
      <c r="L10" s="34">
        <f t="shared" si="4"/>
        <v>2643.7</v>
      </c>
      <c r="M10" s="29"/>
      <c r="N10" s="29"/>
      <c r="O10" s="29"/>
      <c r="P10" s="522">
        <v>6000</v>
      </c>
    </row>
    <row r="11" spans="1:16" ht="16.5" thickBot="1">
      <c r="A11" s="3">
        <v>5</v>
      </c>
      <c r="B11" s="7" t="s">
        <v>22</v>
      </c>
      <c r="C11" s="36">
        <v>2900</v>
      </c>
      <c r="D11" s="33">
        <f>'სხვა განაცემები'!R10</f>
        <v>2073.5</v>
      </c>
      <c r="E11" s="34">
        <f t="shared" si="0"/>
        <v>4973.5</v>
      </c>
      <c r="F11" s="29"/>
      <c r="G11" s="29">
        <v>0</v>
      </c>
      <c r="H11" s="30">
        <f>E11-G11</f>
        <v>4973.5</v>
      </c>
      <c r="I11" s="33">
        <f t="shared" si="2"/>
        <v>994.7</v>
      </c>
      <c r="J11" s="34">
        <f>'სხვა განაცემები'!AH10</f>
        <v>2034.7</v>
      </c>
      <c r="K11" s="34">
        <f t="shared" si="3"/>
        <v>3029.4</v>
      </c>
      <c r="L11" s="34">
        <f t="shared" si="4"/>
        <v>1944.1</v>
      </c>
      <c r="M11" s="29"/>
      <c r="N11" s="29"/>
      <c r="O11" s="29"/>
    </row>
    <row r="12" spans="1:16" ht="16.5" thickBot="1">
      <c r="A12" s="3">
        <v>6</v>
      </c>
      <c r="B12" s="7" t="s">
        <v>21</v>
      </c>
      <c r="C12" s="36">
        <v>1700</v>
      </c>
      <c r="D12" s="33">
        <f>'სხვა განაცემები'!R11</f>
        <v>6071.25</v>
      </c>
      <c r="E12" s="34">
        <f t="shared" si="0"/>
        <v>7771.25</v>
      </c>
      <c r="F12" s="29">
        <v>4000</v>
      </c>
      <c r="G12" s="29">
        <v>0</v>
      </c>
      <c r="H12" s="30">
        <f>E12-G12</f>
        <v>7771.25</v>
      </c>
      <c r="I12" s="33">
        <f t="shared" si="2"/>
        <v>1554.25</v>
      </c>
      <c r="J12" s="34">
        <f>'სხვა განაცემები'!AH11</f>
        <v>760</v>
      </c>
      <c r="K12" s="34">
        <f t="shared" si="3"/>
        <v>2314.25</v>
      </c>
      <c r="L12" s="34">
        <f t="shared" si="4"/>
        <v>5457</v>
      </c>
      <c r="M12" s="29"/>
      <c r="N12" s="29"/>
      <c r="O12" s="29"/>
      <c r="P12" s="522">
        <v>3000</v>
      </c>
    </row>
    <row r="13" spans="1:16" ht="15.75">
      <c r="A13" s="3">
        <v>7</v>
      </c>
      <c r="B13" s="24" t="s">
        <v>20</v>
      </c>
      <c r="C13" s="37">
        <v>1600</v>
      </c>
      <c r="D13" s="33">
        <f>'სხვა განაცემები'!R12</f>
        <v>3940</v>
      </c>
      <c r="E13" s="34">
        <f t="shared" si="0"/>
        <v>5540</v>
      </c>
      <c r="F13" s="32">
        <v>5100</v>
      </c>
      <c r="G13" s="32">
        <v>0</v>
      </c>
      <c r="H13" s="38">
        <f>E13+F13-6000</f>
        <v>4640</v>
      </c>
      <c r="I13" s="33">
        <f t="shared" si="2"/>
        <v>928</v>
      </c>
      <c r="J13" s="34">
        <f>'სხვა განაცემები'!AH12</f>
        <v>3860</v>
      </c>
      <c r="K13" s="34">
        <f t="shared" si="3"/>
        <v>4788</v>
      </c>
      <c r="L13" s="34">
        <f t="shared" si="4"/>
        <v>752</v>
      </c>
      <c r="M13" s="32"/>
      <c r="N13" s="32"/>
      <c r="O13" s="32"/>
      <c r="P13" s="522">
        <v>6000</v>
      </c>
    </row>
    <row r="14" spans="1:16" ht="16.5" thickBot="1">
      <c r="A14" s="48">
        <v>8</v>
      </c>
      <c r="B14" s="48" t="s">
        <v>94</v>
      </c>
      <c r="C14" s="37">
        <v>0</v>
      </c>
      <c r="D14" s="42">
        <f>'სხვა განაცემები'!R13</f>
        <v>1260</v>
      </c>
      <c r="E14" s="40">
        <f t="shared" si="0"/>
        <v>1260</v>
      </c>
      <c r="F14" s="32">
        <v>1000</v>
      </c>
      <c r="G14" s="32">
        <f>E14*2%</f>
        <v>25.2</v>
      </c>
      <c r="H14" s="32">
        <v>0</v>
      </c>
      <c r="I14" s="42">
        <f t="shared" si="2"/>
        <v>0</v>
      </c>
      <c r="J14" s="40">
        <f>'სხვა განაცემები'!AH13</f>
        <v>360</v>
      </c>
      <c r="K14" s="34">
        <f t="shared" si="3"/>
        <v>385.2</v>
      </c>
      <c r="L14" s="40">
        <f t="shared" si="4"/>
        <v>874.8</v>
      </c>
      <c r="M14" s="29"/>
      <c r="N14" s="29"/>
      <c r="O14" s="29"/>
      <c r="P14" s="522">
        <v>3000</v>
      </c>
    </row>
    <row r="15" spans="1:16" ht="15.75" thickBot="1">
      <c r="A15" s="268" t="s">
        <v>16</v>
      </c>
      <c r="B15" s="269"/>
      <c r="C15" s="211">
        <f>SUM(C7:C13)</f>
        <v>15000</v>
      </c>
      <c r="D15" s="49">
        <f>SUM(D7:D14)</f>
        <v>20395.960045662101</v>
      </c>
      <c r="E15" s="50">
        <f>SUM(E7:E14)</f>
        <v>35395.960045662097</v>
      </c>
      <c r="F15" s="49"/>
      <c r="G15" s="51">
        <f>SUM(G7:G14)</f>
        <v>342.22420091324204</v>
      </c>
      <c r="H15" s="43">
        <f>SUM(H7:H13)</f>
        <v>27246.816666666666</v>
      </c>
      <c r="I15" s="44">
        <f>SUM(I7:I13)</f>
        <v>5449.3633333333337</v>
      </c>
      <c r="J15" s="45">
        <f>SUM(J7:J14)</f>
        <v>13115.910045662102</v>
      </c>
      <c r="K15" s="46">
        <f>SUM(K7:K14)</f>
        <v>18907.497579908675</v>
      </c>
      <c r="L15" s="47">
        <f t="shared" si="4"/>
        <v>16488.462465753422</v>
      </c>
      <c r="M15" s="31"/>
      <c r="N15" s="29"/>
      <c r="O15" s="29"/>
    </row>
    <row r="16" spans="1:16">
      <c r="A16" s="134"/>
      <c r="B16" s="134"/>
      <c r="C16" s="135"/>
      <c r="D16" s="136"/>
      <c r="E16" s="137"/>
      <c r="F16" s="94"/>
      <c r="G16" s="138"/>
      <c r="H16" s="139"/>
      <c r="I16" s="140"/>
      <c r="J16" s="138"/>
      <c r="K16" s="141"/>
      <c r="L16" s="141"/>
      <c r="M16" s="94"/>
      <c r="N16" s="94"/>
      <c r="O16" s="94"/>
    </row>
    <row r="17" spans="1:29">
      <c r="A17" s="134"/>
      <c r="B17" s="134"/>
      <c r="C17" s="135"/>
      <c r="D17" s="136"/>
      <c r="E17" s="137"/>
      <c r="F17" s="94"/>
      <c r="G17" s="138"/>
      <c r="H17" s="139"/>
      <c r="I17" s="140"/>
      <c r="J17" s="138"/>
      <c r="K17" s="141"/>
      <c r="L17" s="141"/>
      <c r="M17" s="94"/>
      <c r="N17" s="94"/>
      <c r="O17" s="94"/>
    </row>
    <row r="18" spans="1:29">
      <c r="K18" s="39"/>
      <c r="L18" s="41"/>
    </row>
    <row r="19" spans="1:29" s="5" customFormat="1" ht="34.9" customHeight="1">
      <c r="B19" s="6" t="s">
        <v>24</v>
      </c>
      <c r="C19" s="270" t="s">
        <v>53</v>
      </c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2"/>
    </row>
    <row r="21" spans="1:29" s="4" customFormat="1">
      <c r="P21" s="257"/>
    </row>
    <row r="22" spans="1:29">
      <c r="K22" s="52"/>
    </row>
    <row r="23" spans="1:29">
      <c r="K23" s="39"/>
      <c r="AB23" s="23"/>
      <c r="AC23" s="23"/>
    </row>
    <row r="24" spans="1:29">
      <c r="A24" s="210"/>
      <c r="B24" s="210"/>
      <c r="C24" s="210"/>
      <c r="D24" s="210"/>
      <c r="E24" s="210"/>
      <c r="F24" s="23"/>
      <c r="G24" s="23"/>
      <c r="H24" s="23"/>
      <c r="I24" s="23"/>
      <c r="J24" s="23"/>
      <c r="K24" s="23"/>
      <c r="L24" s="23"/>
      <c r="M24" s="23"/>
      <c r="N24" s="23"/>
      <c r="O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>
      <c r="A25" s="210"/>
      <c r="B25" s="210"/>
      <c r="C25" s="210"/>
      <c r="D25" s="210"/>
      <c r="E25" s="210"/>
      <c r="F25" s="23"/>
      <c r="G25" s="23"/>
      <c r="H25" s="23"/>
      <c r="I25" s="23"/>
      <c r="J25" s="23"/>
      <c r="K25" s="23"/>
      <c r="L25" s="23"/>
      <c r="M25" s="23"/>
      <c r="N25" s="23"/>
      <c r="O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>
      <c r="A26" s="210"/>
      <c r="B26" s="210"/>
      <c r="C26" s="210"/>
      <c r="D26" s="210"/>
      <c r="E26" s="210"/>
      <c r="F26" s="23"/>
      <c r="G26" s="23"/>
      <c r="H26" s="23"/>
      <c r="I26" s="23"/>
      <c r="J26" s="23"/>
      <c r="K26" s="23"/>
      <c r="L26" s="23"/>
      <c r="M26" s="23"/>
      <c r="N26" s="23"/>
      <c r="O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>
      <c r="A27" s="210"/>
      <c r="B27" s="210"/>
      <c r="C27" s="210"/>
      <c r="D27" s="210"/>
      <c r="E27" s="210"/>
      <c r="F27" s="23"/>
      <c r="G27" s="23"/>
      <c r="H27" s="23"/>
      <c r="I27" s="23"/>
      <c r="J27" s="23"/>
      <c r="K27" s="23"/>
      <c r="L27" s="23"/>
      <c r="M27" s="23"/>
      <c r="N27" s="23"/>
      <c r="O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>
      <c r="A28" s="210"/>
      <c r="B28" s="210"/>
      <c r="C28" s="210"/>
      <c r="D28" s="210"/>
      <c r="E28" s="210"/>
      <c r="F28" s="23"/>
      <c r="G28" s="23"/>
      <c r="H28" s="23"/>
      <c r="I28" s="23"/>
      <c r="J28" s="23"/>
      <c r="K28" s="23"/>
      <c r="L28" s="23"/>
      <c r="M28" s="23"/>
      <c r="N28" s="23"/>
      <c r="O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>
      <c r="A29" s="210"/>
      <c r="B29" s="210"/>
      <c r="C29" s="210"/>
      <c r="D29" s="210"/>
      <c r="E29" s="210"/>
    </row>
    <row r="30" spans="1:29">
      <c r="A30" s="210"/>
      <c r="B30" s="210"/>
      <c r="C30" s="210"/>
      <c r="D30" s="210"/>
      <c r="E30" s="210"/>
    </row>
    <row r="31" spans="1:29">
      <c r="A31" s="210"/>
      <c r="B31" s="210"/>
      <c r="C31" s="210"/>
      <c r="D31" s="210"/>
      <c r="E31" s="210"/>
    </row>
    <row r="32" spans="1:29">
      <c r="A32" s="210"/>
      <c r="B32" s="210"/>
      <c r="C32" s="210"/>
      <c r="D32" s="210"/>
      <c r="E32" s="210"/>
    </row>
    <row r="33" spans="1:5">
      <c r="A33" s="210"/>
      <c r="B33" s="210"/>
      <c r="C33" s="210"/>
      <c r="D33" s="210"/>
      <c r="E33" s="210"/>
    </row>
    <row r="34" spans="1:5">
      <c r="A34" s="210"/>
      <c r="B34" s="210"/>
      <c r="C34" s="210"/>
      <c r="D34" s="210"/>
      <c r="E34" s="210"/>
    </row>
    <row r="35" spans="1:5">
      <c r="A35" s="210"/>
      <c r="B35" s="210"/>
      <c r="C35" s="210"/>
      <c r="D35" s="210"/>
      <c r="E35" s="210"/>
    </row>
    <row r="36" spans="1:5">
      <c r="A36" s="210"/>
      <c r="B36" s="210"/>
      <c r="C36" s="210"/>
      <c r="D36" s="210"/>
      <c r="E36" s="210"/>
    </row>
    <row r="37" spans="1:5">
      <c r="A37" s="210"/>
      <c r="B37" s="210"/>
      <c r="C37" s="210"/>
      <c r="D37" s="210"/>
      <c r="E37" s="210"/>
    </row>
  </sheetData>
  <mergeCells count="17">
    <mergeCell ref="A15:B15"/>
    <mergeCell ref="C19:O19"/>
    <mergeCell ref="H4:H5"/>
    <mergeCell ref="I4:I5"/>
    <mergeCell ref="J4:J5"/>
    <mergeCell ref="K4:K5"/>
    <mergeCell ref="A2:M2"/>
    <mergeCell ref="A3:M3"/>
    <mergeCell ref="A4:A5"/>
    <mergeCell ref="B4:B5"/>
    <mergeCell ref="C4:C5"/>
    <mergeCell ref="D4:D5"/>
    <mergeCell ref="E4:E5"/>
    <mergeCell ref="F4:F5"/>
    <mergeCell ref="G4:G5"/>
    <mergeCell ref="M4:O4"/>
    <mergeCell ref="L4:L5"/>
  </mergeCells>
  <printOptions horizontalCentered="1"/>
  <pageMargins left="0.2" right="0.2" top="0.2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3" workbookViewId="0">
      <selection activeCell="S10" sqref="S10"/>
    </sheetView>
  </sheetViews>
  <sheetFormatPr defaultRowHeight="15.75"/>
  <cols>
    <col min="1" max="1" width="5.5703125" style="171" customWidth="1"/>
    <col min="2" max="2" width="18.85546875" style="171" customWidth="1"/>
    <col min="3" max="3" width="5.5703125" style="171" customWidth="1"/>
    <col min="4" max="4" width="5.7109375" style="171" customWidth="1"/>
    <col min="5" max="5" width="5.5703125" style="171" bestFit="1" customWidth="1"/>
    <col min="6" max="6" width="6.140625" style="171" bestFit="1" customWidth="1"/>
    <col min="7" max="7" width="9.85546875" style="171" customWidth="1"/>
    <col min="8" max="8" width="5.5703125" style="171" bestFit="1" customWidth="1"/>
    <col min="9" max="9" width="9.42578125" style="171" customWidth="1"/>
    <col min="10" max="13" width="5.5703125" style="171" bestFit="1" customWidth="1"/>
    <col min="14" max="14" width="6.5703125" style="171" customWidth="1"/>
    <col min="15" max="15" width="7.42578125" style="171" bestFit="1" customWidth="1"/>
    <col min="16" max="16" width="5.5703125" style="171" bestFit="1" customWidth="1"/>
    <col min="17" max="17" width="6" style="171" customWidth="1"/>
    <col min="18" max="20" width="9.5703125" style="171" customWidth="1"/>
    <col min="21" max="21" width="16.5703125" style="171" customWidth="1"/>
    <col min="22" max="22" width="6" style="171" customWidth="1"/>
    <col min="23" max="23" width="6.140625" style="171" bestFit="1" customWidth="1"/>
    <col min="24" max="24" width="8.5703125" style="171" customWidth="1"/>
    <col min="25" max="25" width="5.5703125" style="171" bestFit="1" customWidth="1"/>
    <col min="26" max="26" width="5.5703125" style="171" customWidth="1"/>
    <col min="27" max="28" width="5.5703125" style="171" bestFit="1" customWidth="1"/>
    <col min="29" max="29" width="5.140625" style="171" customWidth="1"/>
    <col min="30" max="30" width="6" style="171" customWidth="1"/>
    <col min="31" max="31" width="7.42578125" style="171" customWidth="1"/>
    <col min="32" max="32" width="5.5703125" style="171" bestFit="1" customWidth="1"/>
    <col min="33" max="33" width="6.85546875" style="171" customWidth="1"/>
    <col min="34" max="34" width="10.85546875" style="171" customWidth="1"/>
    <col min="35" max="16384" width="9.140625" style="171"/>
  </cols>
  <sheetData>
    <row r="1" spans="1:34" s="201" customFormat="1" ht="33.75" customHeight="1">
      <c r="B1" s="271" t="s">
        <v>297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</row>
    <row r="2" spans="1:34" ht="16.5" thickBot="1">
      <c r="T2" s="529"/>
      <c r="Y2" s="258"/>
      <c r="Z2" s="258"/>
      <c r="AA2" s="258"/>
      <c r="AB2" s="258"/>
      <c r="AC2" s="258"/>
      <c r="AD2" s="258"/>
      <c r="AE2" s="258"/>
    </row>
    <row r="3" spans="1:34" ht="16.5" thickBot="1">
      <c r="A3" s="275" t="s">
        <v>0</v>
      </c>
      <c r="B3" s="277" t="s">
        <v>1</v>
      </c>
      <c r="C3" s="281" t="s">
        <v>70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3"/>
      <c r="S3" s="523"/>
      <c r="T3" s="275" t="s">
        <v>0</v>
      </c>
      <c r="U3" s="277" t="s">
        <v>1</v>
      </c>
      <c r="V3" s="272" t="s">
        <v>334</v>
      </c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4"/>
    </row>
    <row r="4" spans="1:34" ht="97.5" customHeight="1" thickBot="1">
      <c r="A4" s="276"/>
      <c r="B4" s="278"/>
      <c r="C4" s="222" t="s">
        <v>54</v>
      </c>
      <c r="D4" s="222" t="s">
        <v>55</v>
      </c>
      <c r="E4" s="222" t="s">
        <v>57</v>
      </c>
      <c r="F4" s="223" t="s">
        <v>69</v>
      </c>
      <c r="G4" s="222" t="s">
        <v>64</v>
      </c>
      <c r="H4" s="222" t="s">
        <v>65</v>
      </c>
      <c r="I4" s="222" t="s">
        <v>68</v>
      </c>
      <c r="J4" s="222" t="s">
        <v>77</v>
      </c>
      <c r="K4" s="222" t="s">
        <v>78</v>
      </c>
      <c r="L4" s="222" t="s">
        <v>82</v>
      </c>
      <c r="M4" s="222" t="s">
        <v>86</v>
      </c>
      <c r="N4" s="222" t="s">
        <v>89</v>
      </c>
      <c r="O4" s="222" t="s">
        <v>93</v>
      </c>
      <c r="P4" s="222" t="s">
        <v>108</v>
      </c>
      <c r="Q4" s="222" t="s">
        <v>97</v>
      </c>
      <c r="R4" s="222" t="s">
        <v>12</v>
      </c>
      <c r="S4" s="524"/>
      <c r="T4" s="276"/>
      <c r="U4" s="278"/>
      <c r="V4" s="173" t="s">
        <v>55</v>
      </c>
      <c r="W4" s="174" t="s">
        <v>69</v>
      </c>
      <c r="X4" s="173" t="s">
        <v>90</v>
      </c>
      <c r="Y4" s="173" t="s">
        <v>65</v>
      </c>
      <c r="Z4" s="173" t="s">
        <v>68</v>
      </c>
      <c r="AA4" s="173" t="s">
        <v>77</v>
      </c>
      <c r="AB4" s="173" t="s">
        <v>78</v>
      </c>
      <c r="AC4" s="173" t="s">
        <v>82</v>
      </c>
      <c r="AD4" s="173" t="s">
        <v>86</v>
      </c>
      <c r="AE4" s="173" t="s">
        <v>111</v>
      </c>
      <c r="AF4" s="173" t="s">
        <v>93</v>
      </c>
      <c r="AG4" s="173" t="s">
        <v>98</v>
      </c>
      <c r="AH4" s="174" t="s">
        <v>12</v>
      </c>
    </row>
    <row r="5" spans="1:34" ht="17.25" thickBot="1">
      <c r="A5" s="175">
        <v>1</v>
      </c>
      <c r="B5" s="176">
        <v>2</v>
      </c>
      <c r="C5" s="176">
        <f>B5+1</f>
        <v>3</v>
      </c>
      <c r="D5" s="176">
        <f t="shared" ref="D5:R5" si="0">C5+1</f>
        <v>4</v>
      </c>
      <c r="E5" s="176">
        <f t="shared" si="0"/>
        <v>5</v>
      </c>
      <c r="F5" s="176">
        <f t="shared" si="0"/>
        <v>6</v>
      </c>
      <c r="G5" s="176">
        <f t="shared" si="0"/>
        <v>7</v>
      </c>
      <c r="H5" s="176">
        <f t="shared" si="0"/>
        <v>8</v>
      </c>
      <c r="I5" s="176">
        <f t="shared" si="0"/>
        <v>9</v>
      </c>
      <c r="J5" s="176">
        <f t="shared" si="0"/>
        <v>10</v>
      </c>
      <c r="K5" s="176">
        <f t="shared" si="0"/>
        <v>11</v>
      </c>
      <c r="L5" s="176">
        <f t="shared" si="0"/>
        <v>12</v>
      </c>
      <c r="M5" s="176">
        <f t="shared" si="0"/>
        <v>13</v>
      </c>
      <c r="N5" s="176">
        <f t="shared" si="0"/>
        <v>14</v>
      </c>
      <c r="O5" s="176">
        <f t="shared" si="0"/>
        <v>15</v>
      </c>
      <c r="P5" s="176">
        <f t="shared" si="0"/>
        <v>16</v>
      </c>
      <c r="Q5" s="176">
        <f t="shared" si="0"/>
        <v>17</v>
      </c>
      <c r="R5" s="177">
        <f t="shared" si="0"/>
        <v>18</v>
      </c>
      <c r="S5" s="525"/>
      <c r="T5" s="175">
        <v>1</v>
      </c>
      <c r="U5" s="176">
        <v>2</v>
      </c>
      <c r="V5" s="178">
        <v>19</v>
      </c>
      <c r="W5" s="179">
        <f>V5+1</f>
        <v>20</v>
      </c>
      <c r="X5" s="179">
        <f t="shared" ref="X5:AH5" si="1">W5+1</f>
        <v>21</v>
      </c>
      <c r="Y5" s="179">
        <f t="shared" si="1"/>
        <v>22</v>
      </c>
      <c r="Z5" s="179">
        <f t="shared" ref="Z5" si="2">Y5+1</f>
        <v>23</v>
      </c>
      <c r="AA5" s="179">
        <f t="shared" ref="AA5" si="3">Z5+1</f>
        <v>24</v>
      </c>
      <c r="AB5" s="179">
        <f t="shared" ref="AB5" si="4">AA5+1</f>
        <v>25</v>
      </c>
      <c r="AC5" s="179">
        <f t="shared" ref="AC5" si="5">AB5+1</f>
        <v>26</v>
      </c>
      <c r="AD5" s="179">
        <f t="shared" ref="AD5" si="6">AC5+1</f>
        <v>27</v>
      </c>
      <c r="AE5" s="179">
        <f t="shared" ref="AE5" si="7">AD5+1</f>
        <v>28</v>
      </c>
      <c r="AF5" s="179">
        <f t="shared" ref="AF5" si="8">AE5+1</f>
        <v>29</v>
      </c>
      <c r="AG5" s="179">
        <f t="shared" ref="AG5" si="9">AF5+1</f>
        <v>30</v>
      </c>
      <c r="AH5" s="180">
        <f t="shared" si="1"/>
        <v>31</v>
      </c>
    </row>
    <row r="6" spans="1:34" ht="17.25" thickBot="1">
      <c r="A6" s="181">
        <v>1</v>
      </c>
      <c r="B6" s="182" t="s">
        <v>17</v>
      </c>
      <c r="C6" s="183">
        <v>300</v>
      </c>
      <c r="D6" s="184"/>
      <c r="E6" s="184">
        <v>180</v>
      </c>
      <c r="F6" s="184"/>
      <c r="G6" s="185">
        <f>'სამუშაო რვეული'!G16</f>
        <v>2083.3333333333335</v>
      </c>
      <c r="H6" s="184">
        <v>10</v>
      </c>
      <c r="I6" s="184">
        <f>'სამუშაო რვეული'!G28</f>
        <v>100</v>
      </c>
      <c r="J6" s="184">
        <v>0</v>
      </c>
      <c r="K6" s="184"/>
      <c r="L6" s="184"/>
      <c r="M6" s="184">
        <f>'სამუშაო რვეული'!G70</f>
        <v>250</v>
      </c>
      <c r="N6" s="184"/>
      <c r="O6" s="184"/>
      <c r="P6" s="184"/>
      <c r="Q6" s="184"/>
      <c r="R6" s="185">
        <f>SUM(C6:Q6)</f>
        <v>2923.3333333333335</v>
      </c>
      <c r="S6" s="526"/>
      <c r="T6" s="181">
        <v>1</v>
      </c>
      <c r="U6" s="182" t="s">
        <v>17</v>
      </c>
      <c r="V6" s="184"/>
      <c r="W6" s="184"/>
      <c r="X6" s="185">
        <f>'სამუშაო რვეული'!G17</f>
        <v>2083.3333333333335</v>
      </c>
      <c r="Y6" s="186">
        <v>10</v>
      </c>
      <c r="Z6" s="186">
        <v>100</v>
      </c>
      <c r="AA6" s="184">
        <v>0</v>
      </c>
      <c r="AB6" s="184"/>
      <c r="AC6" s="184"/>
      <c r="AD6" s="184">
        <f>'სამუშაო რვეული'!G71+'სამუშაო რვეული'!G72</f>
        <v>350</v>
      </c>
      <c r="AE6" s="184"/>
      <c r="AF6" s="184"/>
      <c r="AG6" s="184"/>
      <c r="AH6" s="185">
        <f>SUM(V6:AG6)</f>
        <v>2543.3333333333335</v>
      </c>
    </row>
    <row r="7" spans="1:34" ht="17.25" thickBot="1">
      <c r="A7" s="187">
        <v>2</v>
      </c>
      <c r="B7" s="182" t="s">
        <v>18</v>
      </c>
      <c r="C7" s="188">
        <v>300</v>
      </c>
      <c r="D7" s="189"/>
      <c r="E7" s="189">
        <v>180</v>
      </c>
      <c r="F7" s="189"/>
      <c r="G7" s="189"/>
      <c r="H7" s="189">
        <v>10</v>
      </c>
      <c r="I7" s="189"/>
      <c r="J7" s="189">
        <f>'სამუშაო რვეული'!G46</f>
        <v>100</v>
      </c>
      <c r="K7" s="189"/>
      <c r="L7" s="189"/>
      <c r="M7" s="189">
        <v>250</v>
      </c>
      <c r="N7" s="190">
        <f>'სამუშაო რვეული'!G76</f>
        <v>32.876712328767127</v>
      </c>
      <c r="O7" s="189"/>
      <c r="P7" s="189"/>
      <c r="Q7" s="189"/>
      <c r="R7" s="185">
        <f t="shared" ref="R7:R13" si="10">SUM(C7:Q7)</f>
        <v>872.8767123287671</v>
      </c>
      <c r="S7" s="526"/>
      <c r="T7" s="187">
        <v>2</v>
      </c>
      <c r="U7" s="182" t="s">
        <v>18</v>
      </c>
      <c r="V7" s="189"/>
      <c r="W7" s="189"/>
      <c r="X7" s="189"/>
      <c r="Y7" s="191">
        <v>10</v>
      </c>
      <c r="Z7" s="191"/>
      <c r="AA7" s="189">
        <f t="shared" ref="AA7:AA13" si="11">J7</f>
        <v>100</v>
      </c>
      <c r="AB7" s="189"/>
      <c r="AC7" s="189"/>
      <c r="AD7" s="189">
        <f>AD6</f>
        <v>350</v>
      </c>
      <c r="AE7" s="190">
        <f>'სამუშაო რვეული'!G77</f>
        <v>32.876712328767127</v>
      </c>
      <c r="AF7" s="189"/>
      <c r="AG7" s="189"/>
      <c r="AH7" s="185">
        <f t="shared" ref="AH7:AH13" si="12">SUM(V7:AG7)</f>
        <v>492.8767123287671</v>
      </c>
    </row>
    <row r="8" spans="1:34" ht="17.25" customHeight="1" thickBot="1">
      <c r="A8" s="187">
        <v>3</v>
      </c>
      <c r="B8" s="182" t="s">
        <v>84</v>
      </c>
      <c r="C8" s="188">
        <v>300</v>
      </c>
      <c r="D8" s="189"/>
      <c r="E8" s="189">
        <v>180</v>
      </c>
      <c r="F8" s="189"/>
      <c r="G8" s="189"/>
      <c r="H8" s="189">
        <v>10</v>
      </c>
      <c r="I8" s="189"/>
      <c r="J8" s="189">
        <v>100</v>
      </c>
      <c r="K8" s="189"/>
      <c r="L8" s="189"/>
      <c r="M8" s="189">
        <v>250</v>
      </c>
      <c r="N8" s="189"/>
      <c r="O8" s="189">
        <v>1500</v>
      </c>
      <c r="P8" s="189"/>
      <c r="Q8" s="189"/>
      <c r="R8" s="184">
        <f t="shared" si="10"/>
        <v>2340</v>
      </c>
      <c r="S8" s="527"/>
      <c r="T8" s="187">
        <v>3</v>
      </c>
      <c r="U8" s="182" t="s">
        <v>84</v>
      </c>
      <c r="V8" s="189"/>
      <c r="W8" s="189"/>
      <c r="X8" s="189"/>
      <c r="Y8" s="191">
        <v>10</v>
      </c>
      <c r="Z8" s="191"/>
      <c r="AA8" s="189">
        <f t="shared" si="11"/>
        <v>100</v>
      </c>
      <c r="AB8" s="189"/>
      <c r="AC8" s="189">
        <f>'სამუშაო რვეული'!G66</f>
        <v>500</v>
      </c>
      <c r="AD8" s="189">
        <f t="shared" ref="AD8:AD13" si="13">AD7</f>
        <v>350</v>
      </c>
      <c r="AE8" s="189"/>
      <c r="AF8" s="189">
        <f>O8</f>
        <v>1500</v>
      </c>
      <c r="AG8" s="189"/>
      <c r="AH8" s="184">
        <f t="shared" si="12"/>
        <v>2460</v>
      </c>
    </row>
    <row r="9" spans="1:34" ht="17.25" thickBot="1">
      <c r="A9" s="187">
        <v>4</v>
      </c>
      <c r="B9" s="182" t="s">
        <v>23</v>
      </c>
      <c r="C9" s="188">
        <v>300</v>
      </c>
      <c r="D9" s="189"/>
      <c r="E9" s="189">
        <v>180</v>
      </c>
      <c r="F9" s="189"/>
      <c r="G9" s="189"/>
      <c r="H9" s="189">
        <v>10</v>
      </c>
      <c r="I9" s="189"/>
      <c r="J9" s="189">
        <v>100</v>
      </c>
      <c r="K9" s="189">
        <f>60/0.8</f>
        <v>75</v>
      </c>
      <c r="L9" s="189"/>
      <c r="M9" s="189">
        <v>250</v>
      </c>
      <c r="N9" s="189"/>
      <c r="O9" s="189"/>
      <c r="P9" s="189"/>
      <c r="Q9" s="189"/>
      <c r="R9" s="184">
        <f t="shared" si="10"/>
        <v>915</v>
      </c>
      <c r="S9" s="527"/>
      <c r="T9" s="187">
        <v>4</v>
      </c>
      <c r="U9" s="182" t="s">
        <v>23</v>
      </c>
      <c r="V9" s="189"/>
      <c r="W9" s="189"/>
      <c r="X9" s="189"/>
      <c r="Y9" s="191">
        <v>10</v>
      </c>
      <c r="Z9" s="191"/>
      <c r="AA9" s="189">
        <f t="shared" si="11"/>
        <v>100</v>
      </c>
      <c r="AB9" s="189">
        <f>K9+70</f>
        <v>145</v>
      </c>
      <c r="AC9" s="189"/>
      <c r="AD9" s="189">
        <f t="shared" si="13"/>
        <v>350</v>
      </c>
      <c r="AE9" s="189"/>
      <c r="AF9" s="189"/>
      <c r="AG9" s="189"/>
      <c r="AH9" s="184">
        <f t="shared" si="12"/>
        <v>605</v>
      </c>
    </row>
    <row r="10" spans="1:34" ht="17.25" thickBot="1">
      <c r="A10" s="187">
        <v>5</v>
      </c>
      <c r="B10" s="182" t="s">
        <v>22</v>
      </c>
      <c r="C10" s="188"/>
      <c r="D10" s="189">
        <v>400</v>
      </c>
      <c r="E10" s="189">
        <v>180</v>
      </c>
      <c r="F10" s="189"/>
      <c r="G10" s="189"/>
      <c r="H10" s="189">
        <v>10</v>
      </c>
      <c r="I10" s="190">
        <f>'სამუშაო რვეული'!G42</f>
        <v>953.5</v>
      </c>
      <c r="J10" s="189">
        <f>'სამუშაო რვეული'!G48</f>
        <v>30</v>
      </c>
      <c r="K10" s="189"/>
      <c r="L10" s="189">
        <f>'სამუშაო რვეული'!G61</f>
        <v>250</v>
      </c>
      <c r="M10" s="189">
        <v>250</v>
      </c>
      <c r="N10" s="189"/>
      <c r="O10" s="189"/>
      <c r="P10" s="189"/>
      <c r="Q10" s="189"/>
      <c r="R10" s="184">
        <f t="shared" si="10"/>
        <v>2073.5</v>
      </c>
      <c r="S10" s="527"/>
      <c r="T10" s="187">
        <v>5</v>
      </c>
      <c r="U10" s="182" t="s">
        <v>22</v>
      </c>
      <c r="V10" s="189">
        <v>400</v>
      </c>
      <c r="W10" s="189"/>
      <c r="X10" s="189"/>
      <c r="Y10" s="191">
        <v>10</v>
      </c>
      <c r="Z10" s="191"/>
      <c r="AA10" s="189">
        <f t="shared" si="11"/>
        <v>30</v>
      </c>
      <c r="AB10" s="189"/>
      <c r="AC10" s="189">
        <f>'სამუშაო რვეული'!G62</f>
        <v>250</v>
      </c>
      <c r="AD10" s="189">
        <f t="shared" si="13"/>
        <v>350</v>
      </c>
      <c r="AE10" s="189"/>
      <c r="AF10" s="189"/>
      <c r="AG10" s="189">
        <f>'სამუშაო რვეული'!G96</f>
        <v>994.7</v>
      </c>
      <c r="AH10" s="184">
        <f t="shared" si="12"/>
        <v>2034.7</v>
      </c>
    </row>
    <row r="11" spans="1:34" ht="17.25" thickBot="1">
      <c r="A11" s="187">
        <v>6</v>
      </c>
      <c r="B11" s="182" t="s">
        <v>21</v>
      </c>
      <c r="C11" s="188"/>
      <c r="D11" s="189">
        <v>400</v>
      </c>
      <c r="E11" s="189">
        <v>180</v>
      </c>
      <c r="F11" s="189"/>
      <c r="G11" s="189"/>
      <c r="H11" s="189">
        <v>10</v>
      </c>
      <c r="I11" s="189">
        <f>'სამუშაო რვეული'!G34</f>
        <v>131.25</v>
      </c>
      <c r="J11" s="189">
        <v>0</v>
      </c>
      <c r="K11" s="189"/>
      <c r="L11" s="189"/>
      <c r="M11" s="189">
        <v>250</v>
      </c>
      <c r="N11" s="189"/>
      <c r="O11" s="189"/>
      <c r="P11" s="192"/>
      <c r="Q11" s="192">
        <f>'სამუშაო რვეული'!G90</f>
        <v>5100</v>
      </c>
      <c r="R11" s="184">
        <f t="shared" si="10"/>
        <v>6071.25</v>
      </c>
      <c r="S11" s="527"/>
      <c r="T11" s="187">
        <v>6</v>
      </c>
      <c r="U11" s="182" t="s">
        <v>21</v>
      </c>
      <c r="V11" s="189">
        <v>400</v>
      </c>
      <c r="W11" s="189"/>
      <c r="X11" s="189"/>
      <c r="Y11" s="191">
        <v>10</v>
      </c>
      <c r="Z11" s="191"/>
      <c r="AA11" s="189">
        <f t="shared" si="11"/>
        <v>0</v>
      </c>
      <c r="AB11" s="189"/>
      <c r="AC11" s="189"/>
      <c r="AD11" s="189">
        <f t="shared" si="13"/>
        <v>350</v>
      </c>
      <c r="AE11" s="189"/>
      <c r="AF11" s="189"/>
      <c r="AG11" s="189"/>
      <c r="AH11" s="184">
        <f t="shared" si="12"/>
        <v>760</v>
      </c>
    </row>
    <row r="12" spans="1:34" ht="16.5">
      <c r="A12" s="187">
        <v>7</v>
      </c>
      <c r="B12" s="181" t="s">
        <v>20</v>
      </c>
      <c r="C12" s="193"/>
      <c r="D12" s="194">
        <v>400</v>
      </c>
      <c r="E12" s="194">
        <v>180</v>
      </c>
      <c r="F12" s="195">
        <f>'სამუშაო რვეული'!H10</f>
        <v>3000</v>
      </c>
      <c r="G12" s="194"/>
      <c r="H12" s="194">
        <v>10</v>
      </c>
      <c r="I12" s="194"/>
      <c r="J12" s="194">
        <v>100</v>
      </c>
      <c r="K12" s="194"/>
      <c r="L12" s="194"/>
      <c r="M12" s="194">
        <v>250</v>
      </c>
      <c r="N12" s="194"/>
      <c r="O12" s="189"/>
      <c r="P12" s="189"/>
      <c r="Q12" s="189"/>
      <c r="R12" s="184">
        <f t="shared" si="10"/>
        <v>3940</v>
      </c>
      <c r="S12" s="527"/>
      <c r="T12" s="187">
        <v>7</v>
      </c>
      <c r="U12" s="181" t="s">
        <v>20</v>
      </c>
      <c r="V12" s="189">
        <v>400</v>
      </c>
      <c r="W12" s="191">
        <f>F12</f>
        <v>3000</v>
      </c>
      <c r="X12" s="189"/>
      <c r="Y12" s="191">
        <v>10</v>
      </c>
      <c r="Z12" s="191"/>
      <c r="AA12" s="189">
        <f t="shared" si="11"/>
        <v>100</v>
      </c>
      <c r="AB12" s="189"/>
      <c r="AC12" s="189"/>
      <c r="AD12" s="189">
        <f t="shared" si="13"/>
        <v>350</v>
      </c>
      <c r="AE12" s="194"/>
      <c r="AF12" s="189"/>
      <c r="AG12" s="189"/>
      <c r="AH12" s="184">
        <f t="shared" si="12"/>
        <v>3860</v>
      </c>
    </row>
    <row r="13" spans="1:34" ht="16.5">
      <c r="A13" s="196">
        <v>8</v>
      </c>
      <c r="B13" s="196" t="s">
        <v>94</v>
      </c>
      <c r="C13" s="189"/>
      <c r="D13" s="189"/>
      <c r="E13" s="189"/>
      <c r="F13" s="191"/>
      <c r="G13" s="189"/>
      <c r="H13" s="189">
        <v>10</v>
      </c>
      <c r="I13" s="189"/>
      <c r="J13" s="189">
        <v>0</v>
      </c>
      <c r="K13" s="189"/>
      <c r="L13" s="189"/>
      <c r="M13" s="189">
        <v>250</v>
      </c>
      <c r="N13" s="189"/>
      <c r="O13" s="189"/>
      <c r="P13" s="189">
        <v>1000</v>
      </c>
      <c r="Q13" s="189"/>
      <c r="R13" s="184">
        <f t="shared" si="10"/>
        <v>1260</v>
      </c>
      <c r="S13" s="527"/>
      <c r="T13" s="196">
        <v>8</v>
      </c>
      <c r="U13" s="196" t="s">
        <v>94</v>
      </c>
      <c r="V13" s="189"/>
      <c r="W13" s="189"/>
      <c r="X13" s="189"/>
      <c r="Y13" s="191">
        <v>10</v>
      </c>
      <c r="Z13" s="191"/>
      <c r="AA13" s="189">
        <f t="shared" si="11"/>
        <v>0</v>
      </c>
      <c r="AB13" s="189"/>
      <c r="AC13" s="189"/>
      <c r="AD13" s="189">
        <f t="shared" si="13"/>
        <v>350</v>
      </c>
      <c r="AE13" s="189"/>
      <c r="AF13" s="189"/>
      <c r="AG13" s="189"/>
      <c r="AH13" s="184">
        <f t="shared" si="12"/>
        <v>360</v>
      </c>
    </row>
    <row r="14" spans="1:34" s="199" customFormat="1" ht="33.75" customHeight="1" thickBot="1">
      <c r="A14" s="279" t="s">
        <v>16</v>
      </c>
      <c r="B14" s="280"/>
      <c r="C14" s="197">
        <f>SUM(C6:C13)</f>
        <v>1200</v>
      </c>
      <c r="D14" s="197">
        <f t="shared" ref="D14:R14" si="14">SUM(D6:D13)</f>
        <v>1200</v>
      </c>
      <c r="E14" s="197">
        <f t="shared" si="14"/>
        <v>1260</v>
      </c>
      <c r="F14" s="197">
        <f t="shared" si="14"/>
        <v>3000</v>
      </c>
      <c r="G14" s="200">
        <f t="shared" si="14"/>
        <v>2083.3333333333335</v>
      </c>
      <c r="H14" s="197">
        <f t="shared" si="14"/>
        <v>80</v>
      </c>
      <c r="I14" s="197">
        <f t="shared" si="14"/>
        <v>1184.75</v>
      </c>
      <c r="J14" s="197">
        <f t="shared" si="14"/>
        <v>430</v>
      </c>
      <c r="K14" s="197">
        <f t="shared" si="14"/>
        <v>75</v>
      </c>
      <c r="L14" s="197">
        <f t="shared" si="14"/>
        <v>250</v>
      </c>
      <c r="M14" s="197">
        <f t="shared" si="14"/>
        <v>2000</v>
      </c>
      <c r="N14" s="197">
        <f t="shared" si="14"/>
        <v>32.876712328767127</v>
      </c>
      <c r="O14" s="197">
        <f t="shared" si="14"/>
        <v>1500</v>
      </c>
      <c r="P14" s="197">
        <f t="shared" si="14"/>
        <v>1000</v>
      </c>
      <c r="Q14" s="197">
        <f t="shared" si="14"/>
        <v>5100</v>
      </c>
      <c r="R14" s="197">
        <f t="shared" si="14"/>
        <v>20395.960045662101</v>
      </c>
      <c r="S14" s="528"/>
      <c r="T14" s="279" t="s">
        <v>16</v>
      </c>
      <c r="U14" s="280"/>
      <c r="V14" s="198">
        <f>SUM(V6:V13)</f>
        <v>1200</v>
      </c>
      <c r="W14" s="198">
        <f t="shared" ref="W14:AH14" si="15">SUM(W6:W13)</f>
        <v>3000</v>
      </c>
      <c r="X14" s="198">
        <f t="shared" si="15"/>
        <v>2083.3333333333335</v>
      </c>
      <c r="Y14" s="198">
        <f t="shared" si="15"/>
        <v>80</v>
      </c>
      <c r="Z14" s="198">
        <f t="shared" si="15"/>
        <v>100</v>
      </c>
      <c r="AA14" s="198">
        <f t="shared" si="15"/>
        <v>430</v>
      </c>
      <c r="AB14" s="198">
        <f t="shared" si="15"/>
        <v>145</v>
      </c>
      <c r="AC14" s="198">
        <f t="shared" si="15"/>
        <v>750</v>
      </c>
      <c r="AD14" s="198">
        <f t="shared" si="15"/>
        <v>2800</v>
      </c>
      <c r="AE14" s="198">
        <f t="shared" si="15"/>
        <v>32.876712328767127</v>
      </c>
      <c r="AF14" s="198">
        <f t="shared" si="15"/>
        <v>1500</v>
      </c>
      <c r="AG14" s="198">
        <f t="shared" si="15"/>
        <v>994.7</v>
      </c>
      <c r="AH14" s="198">
        <f t="shared" si="15"/>
        <v>13115.910045662102</v>
      </c>
    </row>
    <row r="15" spans="1:34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</row>
    <row r="16" spans="1:34">
      <c r="A16" s="171" t="s">
        <v>326</v>
      </c>
    </row>
  </sheetData>
  <mergeCells count="9">
    <mergeCell ref="T3:T4"/>
    <mergeCell ref="U3:U4"/>
    <mergeCell ref="T14:U14"/>
    <mergeCell ref="B1:AH1"/>
    <mergeCell ref="V3:AH3"/>
    <mergeCell ref="A3:A4"/>
    <mergeCell ref="B3:B4"/>
    <mergeCell ref="A14:B14"/>
    <mergeCell ref="C3:R3"/>
  </mergeCells>
  <pageMargins left="0.31496062992125984" right="0.11811023622047244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1"/>
  <sheetViews>
    <sheetView topLeftCell="A139" workbookViewId="0">
      <selection activeCell="A78" sqref="A78:XFD78"/>
    </sheetView>
  </sheetViews>
  <sheetFormatPr defaultRowHeight="15"/>
  <cols>
    <col min="2" max="2" width="7.7109375" customWidth="1"/>
    <col min="4" max="4" width="4" customWidth="1"/>
    <col min="5" max="5" width="7.28515625" customWidth="1"/>
    <col min="6" max="6" width="13" customWidth="1"/>
    <col min="7" max="7" width="11" style="106" customWidth="1"/>
    <col min="8" max="8" width="6.7109375" style="13" customWidth="1"/>
    <col min="9" max="9" width="10" customWidth="1"/>
    <col min="10" max="10" width="22.28515625" style="14" customWidth="1"/>
  </cols>
  <sheetData>
    <row r="1" spans="1:15" ht="15.75">
      <c r="A1" s="410" t="s">
        <v>172</v>
      </c>
      <c r="B1" s="410"/>
      <c r="C1" s="410"/>
      <c r="D1" s="410"/>
      <c r="E1" s="410"/>
      <c r="F1" s="410"/>
      <c r="G1" s="410"/>
      <c r="H1" s="410"/>
      <c r="I1" s="410"/>
    </row>
    <row r="2" spans="1:15" ht="15.75">
      <c r="A2" s="21"/>
      <c r="B2" s="410" t="s">
        <v>29</v>
      </c>
      <c r="C2" s="410"/>
      <c r="D2" s="410"/>
      <c r="E2" s="410"/>
      <c r="F2" s="410"/>
      <c r="G2" s="410"/>
      <c r="H2" s="410"/>
      <c r="I2" s="410"/>
    </row>
    <row r="3" spans="1:15">
      <c r="A3" s="22"/>
      <c r="B3" s="22"/>
      <c r="C3" s="22"/>
      <c r="D3" s="22"/>
      <c r="E3" s="22"/>
      <c r="F3" s="22"/>
      <c r="G3" s="13"/>
      <c r="I3" s="22"/>
    </row>
    <row r="4" spans="1:15">
      <c r="A4" s="411" t="s">
        <v>173</v>
      </c>
      <c r="B4" s="411"/>
      <c r="C4" s="411"/>
      <c r="D4" s="411"/>
      <c r="E4" s="411"/>
      <c r="F4" s="411"/>
      <c r="G4" s="411"/>
      <c r="H4" s="411"/>
      <c r="I4" s="411"/>
    </row>
    <row r="6" spans="1:15" ht="45.75" customHeight="1">
      <c r="A6" s="412" t="s">
        <v>58</v>
      </c>
      <c r="B6" s="412"/>
      <c r="C6" s="412"/>
      <c r="D6" s="412"/>
      <c r="E6" s="412"/>
      <c r="F6" s="412"/>
      <c r="G6" s="412"/>
      <c r="H6" s="412"/>
      <c r="I6" s="412"/>
      <c r="J6" s="14" t="s">
        <v>298</v>
      </c>
    </row>
    <row r="7" spans="1:15" ht="9.75" customHeight="1" thickBot="1"/>
    <row r="8" spans="1:15" s="8" customFormat="1" ht="54.75">
      <c r="A8" s="308" t="s">
        <v>25</v>
      </c>
      <c r="B8" s="309"/>
      <c r="C8" s="309"/>
      <c r="D8" s="309"/>
      <c r="E8" s="309"/>
      <c r="F8" s="54" t="s">
        <v>26</v>
      </c>
      <c r="G8" s="89" t="s">
        <v>27</v>
      </c>
      <c r="H8" s="55" t="s">
        <v>61</v>
      </c>
      <c r="I8" s="56" t="s">
        <v>28</v>
      </c>
      <c r="J8" s="108"/>
      <c r="K8" s="57"/>
    </row>
    <row r="9" spans="1:15">
      <c r="A9" s="365" t="s">
        <v>59</v>
      </c>
      <c r="B9" s="366"/>
      <c r="C9" s="366"/>
      <c r="D9" s="366"/>
      <c r="E9" s="367"/>
      <c r="F9" s="350" t="s">
        <v>19</v>
      </c>
      <c r="G9" s="118">
        <f>2000</f>
        <v>2000</v>
      </c>
      <c r="H9" s="111"/>
      <c r="I9" s="284">
        <v>1</v>
      </c>
      <c r="J9" s="108"/>
      <c r="K9" s="58"/>
    </row>
    <row r="10" spans="1:15">
      <c r="A10" s="365" t="s">
        <v>60</v>
      </c>
      <c r="B10" s="366"/>
      <c r="C10" s="366"/>
      <c r="D10" s="366"/>
      <c r="E10" s="367"/>
      <c r="F10" s="416"/>
      <c r="G10" s="118">
        <f>G9*20%</f>
        <v>400</v>
      </c>
      <c r="H10" s="112">
        <f>G9+G10+G11</f>
        <v>3000</v>
      </c>
      <c r="I10" s="285"/>
      <c r="J10" s="108" t="s">
        <v>62</v>
      </c>
      <c r="K10" s="59"/>
    </row>
    <row r="11" spans="1:15" ht="28.5" customHeight="1">
      <c r="A11" s="306" t="s">
        <v>327</v>
      </c>
      <c r="B11" s="296"/>
      <c r="C11" s="296"/>
      <c r="D11" s="296"/>
      <c r="E11" s="297"/>
      <c r="F11" s="393"/>
      <c r="G11" s="119">
        <f>(G9+G10)/0.8*20%</f>
        <v>600</v>
      </c>
      <c r="H11" s="113"/>
      <c r="I11" s="285"/>
      <c r="J11" s="108"/>
      <c r="K11" s="58"/>
      <c r="O11" s="221"/>
    </row>
    <row r="12" spans="1:15" ht="24" customHeight="1" thickBot="1">
      <c r="A12" s="430" t="s">
        <v>99</v>
      </c>
      <c r="B12" s="305"/>
      <c r="C12" s="305"/>
      <c r="D12" s="305"/>
      <c r="E12" s="305"/>
      <c r="F12" s="60" t="s">
        <v>56</v>
      </c>
      <c r="G12" s="120">
        <f>G9+G10+G11</f>
        <v>3000</v>
      </c>
      <c r="H12" s="208"/>
      <c r="I12" s="286"/>
      <c r="J12" s="108"/>
      <c r="K12" s="58"/>
    </row>
    <row r="13" spans="1:15" ht="11.25" customHeight="1">
      <c r="A13" s="61"/>
      <c r="B13" s="61"/>
      <c r="C13" s="61"/>
      <c r="D13" s="61"/>
      <c r="E13" s="61"/>
      <c r="F13" s="62"/>
      <c r="G13" s="61"/>
      <c r="H13" s="61"/>
      <c r="I13" s="62"/>
      <c r="J13" s="108"/>
      <c r="K13" s="58"/>
    </row>
    <row r="14" spans="1:15" ht="22.5" customHeight="1" thickBot="1">
      <c r="A14" s="417" t="s">
        <v>63</v>
      </c>
      <c r="B14" s="417"/>
      <c r="C14" s="417"/>
      <c r="D14" s="417"/>
      <c r="E14" s="417"/>
      <c r="F14" s="417"/>
      <c r="G14" s="417"/>
      <c r="H14" s="417"/>
      <c r="I14" s="417"/>
      <c r="J14" s="14" t="s">
        <v>299</v>
      </c>
      <c r="K14" s="58"/>
    </row>
    <row r="15" spans="1:15" ht="25.5">
      <c r="A15" s="308" t="s">
        <v>25</v>
      </c>
      <c r="B15" s="309"/>
      <c r="C15" s="309"/>
      <c r="D15" s="309"/>
      <c r="E15" s="309"/>
      <c r="F15" s="54" t="s">
        <v>26</v>
      </c>
      <c r="G15" s="89" t="s">
        <v>27</v>
      </c>
      <c r="H15" s="89" t="s">
        <v>28</v>
      </c>
      <c r="I15" s="63" t="s">
        <v>9</v>
      </c>
      <c r="J15" s="108"/>
      <c r="K15" s="58"/>
    </row>
    <row r="16" spans="1:15" ht="29.25" customHeight="1">
      <c r="A16" s="306" t="s">
        <v>328</v>
      </c>
      <c r="B16" s="296"/>
      <c r="C16" s="296"/>
      <c r="D16" s="296"/>
      <c r="E16" s="297"/>
      <c r="F16" s="64" t="s">
        <v>19</v>
      </c>
      <c r="G16" s="121">
        <f>100000*20%/0.8/12*1</f>
        <v>2083.3333333333335</v>
      </c>
      <c r="H16" s="289">
        <v>1</v>
      </c>
      <c r="I16" s="65"/>
      <c r="J16" s="108" t="s">
        <v>62</v>
      </c>
      <c r="K16" s="58"/>
    </row>
    <row r="17" spans="1:14" ht="26.25" customHeight="1" thickBot="1">
      <c r="A17" s="430" t="s">
        <v>99</v>
      </c>
      <c r="B17" s="305"/>
      <c r="C17" s="305"/>
      <c r="D17" s="305"/>
      <c r="E17" s="305"/>
      <c r="F17" s="60" t="s">
        <v>56</v>
      </c>
      <c r="G17" s="120">
        <f>G16</f>
        <v>2083.3333333333335</v>
      </c>
      <c r="H17" s="299"/>
      <c r="I17" s="66"/>
      <c r="J17" s="108"/>
      <c r="K17" s="58"/>
    </row>
    <row r="18" spans="1:14">
      <c r="A18" s="58"/>
      <c r="B18" s="58"/>
      <c r="C18" s="58"/>
      <c r="D18" s="58"/>
      <c r="E18" s="58"/>
      <c r="F18" s="58"/>
      <c r="G18" s="59"/>
      <c r="H18" s="105"/>
      <c r="I18" s="58"/>
      <c r="J18" s="108"/>
      <c r="K18" s="58"/>
    </row>
    <row r="19" spans="1:14" ht="16.5" thickBot="1">
      <c r="A19" s="418" t="s">
        <v>72</v>
      </c>
      <c r="B19" s="418"/>
      <c r="C19" s="418"/>
      <c r="D19" s="418"/>
      <c r="E19" s="418"/>
      <c r="F19" s="418"/>
      <c r="G19" s="418"/>
      <c r="H19" s="418"/>
      <c r="I19" s="418"/>
      <c r="J19" s="14" t="s">
        <v>300</v>
      </c>
      <c r="K19" s="58"/>
    </row>
    <row r="20" spans="1:14" ht="30">
      <c r="A20" s="419" t="s">
        <v>25</v>
      </c>
      <c r="B20" s="420"/>
      <c r="C20" s="420"/>
      <c r="D20" s="420"/>
      <c r="E20" s="420"/>
      <c r="F20" s="67" t="s">
        <v>26</v>
      </c>
      <c r="G20" s="114" t="s">
        <v>27</v>
      </c>
      <c r="H20" s="114" t="s">
        <v>28</v>
      </c>
      <c r="I20" s="68" t="s">
        <v>9</v>
      </c>
      <c r="J20" s="108"/>
      <c r="K20" s="58"/>
    </row>
    <row r="21" spans="1:14">
      <c r="A21" s="421" t="s">
        <v>73</v>
      </c>
      <c r="B21" s="422"/>
      <c r="C21" s="422"/>
      <c r="D21" s="422"/>
      <c r="E21" s="423"/>
      <c r="F21" s="69" t="s">
        <v>19</v>
      </c>
      <c r="G21" s="122">
        <v>10</v>
      </c>
      <c r="H21" s="287">
        <v>1</v>
      </c>
      <c r="I21" s="70"/>
      <c r="J21" s="108"/>
      <c r="K21" s="58"/>
    </row>
    <row r="22" spans="1:14" ht="15.75" thickBot="1">
      <c r="A22" s="430" t="s">
        <v>99</v>
      </c>
      <c r="B22" s="305"/>
      <c r="C22" s="305"/>
      <c r="D22" s="305"/>
      <c r="E22" s="305"/>
      <c r="F22" s="60" t="s">
        <v>56</v>
      </c>
      <c r="G22" s="123">
        <f>G21</f>
        <v>10</v>
      </c>
      <c r="H22" s="288"/>
      <c r="I22" s="66"/>
      <c r="J22" s="108"/>
      <c r="K22" s="58"/>
    </row>
    <row r="23" spans="1:14" ht="9.75" customHeight="1">
      <c r="A23" s="61"/>
      <c r="B23" s="61"/>
      <c r="C23" s="61"/>
      <c r="D23" s="61"/>
      <c r="E23" s="61"/>
      <c r="F23" s="62"/>
      <c r="G23" s="124"/>
      <c r="H23" s="115"/>
      <c r="I23" s="62"/>
      <c r="J23" s="108"/>
      <c r="K23" s="58"/>
    </row>
    <row r="24" spans="1:14" ht="48.75" customHeight="1" thickBot="1">
      <c r="A24" s="391" t="s">
        <v>179</v>
      </c>
      <c r="B24" s="391"/>
      <c r="C24" s="391"/>
      <c r="D24" s="391"/>
      <c r="E24" s="391"/>
      <c r="F24" s="391"/>
      <c r="G24" s="391"/>
      <c r="H24" s="391"/>
      <c r="I24" s="391"/>
      <c r="J24" s="108" t="s">
        <v>301</v>
      </c>
      <c r="K24" s="58"/>
    </row>
    <row r="25" spans="1:14" ht="25.5">
      <c r="A25" s="308" t="s">
        <v>25</v>
      </c>
      <c r="B25" s="309"/>
      <c r="C25" s="309"/>
      <c r="D25" s="309"/>
      <c r="E25" s="309"/>
      <c r="F25" s="54" t="s">
        <v>26</v>
      </c>
      <c r="G25" s="89" t="s">
        <v>27</v>
      </c>
      <c r="H25" s="89" t="s">
        <v>28</v>
      </c>
      <c r="I25" s="63" t="s">
        <v>9</v>
      </c>
      <c r="J25" s="108"/>
      <c r="K25" s="58"/>
    </row>
    <row r="26" spans="1:14" ht="38.25">
      <c r="A26" s="306" t="s">
        <v>198</v>
      </c>
      <c r="B26" s="296"/>
      <c r="C26" s="296"/>
      <c r="D26" s="296"/>
      <c r="E26" s="297"/>
      <c r="F26" s="71" t="s">
        <v>30</v>
      </c>
      <c r="G26" s="99">
        <f>130+1000+300+500</f>
        <v>1930</v>
      </c>
      <c r="H26" s="289">
        <v>1</v>
      </c>
      <c r="I26" s="72"/>
      <c r="J26" s="108"/>
      <c r="K26" s="58"/>
    </row>
    <row r="27" spans="1:14" ht="38.25">
      <c r="A27" s="306" t="s">
        <v>67</v>
      </c>
      <c r="B27" s="296"/>
      <c r="C27" s="296"/>
      <c r="D27" s="296"/>
      <c r="E27" s="297"/>
      <c r="F27" s="71" t="s">
        <v>66</v>
      </c>
      <c r="G27" s="99">
        <f>100+1000+300</f>
        <v>1400</v>
      </c>
      <c r="H27" s="298"/>
      <c r="I27" s="209"/>
      <c r="J27" s="108"/>
      <c r="K27" s="58"/>
      <c r="N27" t="s">
        <v>36</v>
      </c>
    </row>
    <row r="28" spans="1:14" ht="26.25" customHeight="1" thickBot="1">
      <c r="A28" s="362" t="s">
        <v>329</v>
      </c>
      <c r="B28" s="363"/>
      <c r="C28" s="363"/>
      <c r="D28" s="363"/>
      <c r="E28" s="364"/>
      <c r="F28" s="73" t="s">
        <v>19</v>
      </c>
      <c r="G28" s="73">
        <f>(1500-G27)</f>
        <v>100</v>
      </c>
      <c r="H28" s="299"/>
      <c r="I28" s="209"/>
      <c r="J28" s="105" t="s">
        <v>330</v>
      </c>
      <c r="K28" s="58"/>
    </row>
    <row r="29" spans="1:14">
      <c r="A29" s="58"/>
      <c r="B29" s="58"/>
      <c r="C29" s="58"/>
      <c r="D29" s="58"/>
      <c r="E29" s="58"/>
      <c r="F29" s="58"/>
      <c r="G29" s="59"/>
      <c r="H29" s="105"/>
      <c r="I29" s="58"/>
      <c r="J29" s="108"/>
      <c r="K29" s="58"/>
    </row>
    <row r="30" spans="1:14" ht="46.5" customHeight="1" thickBot="1">
      <c r="A30" s="391" t="s">
        <v>180</v>
      </c>
      <c r="B30" s="391"/>
      <c r="C30" s="391"/>
      <c r="D30" s="391"/>
      <c r="E30" s="391"/>
      <c r="F30" s="391"/>
      <c r="G30" s="391"/>
      <c r="H30" s="391"/>
      <c r="I30" s="391"/>
      <c r="J30" s="108" t="s">
        <v>301</v>
      </c>
      <c r="K30" s="58"/>
    </row>
    <row r="31" spans="1:14" ht="25.5">
      <c r="A31" s="308" t="s">
        <v>25</v>
      </c>
      <c r="B31" s="309"/>
      <c r="C31" s="309"/>
      <c r="D31" s="309"/>
      <c r="E31" s="309"/>
      <c r="F31" s="54" t="s">
        <v>26</v>
      </c>
      <c r="G31" s="89" t="s">
        <v>27</v>
      </c>
      <c r="H31" s="89" t="s">
        <v>28</v>
      </c>
      <c r="I31" s="63" t="s">
        <v>9</v>
      </c>
      <c r="J31" s="108"/>
      <c r="K31" s="58"/>
    </row>
    <row r="32" spans="1:14" ht="38.25">
      <c r="A32" s="306" t="s">
        <v>71</v>
      </c>
      <c r="B32" s="296"/>
      <c r="C32" s="296"/>
      <c r="D32" s="296"/>
      <c r="E32" s="297"/>
      <c r="F32" s="71" t="s">
        <v>30</v>
      </c>
      <c r="G32" s="99">
        <f>167+1008+300</f>
        <v>1475</v>
      </c>
      <c r="H32" s="289">
        <v>1</v>
      </c>
      <c r="I32" s="72"/>
      <c r="J32" s="108"/>
      <c r="K32" s="58"/>
    </row>
    <row r="33" spans="1:11" ht="38.25">
      <c r="A33" s="306" t="s">
        <v>100</v>
      </c>
      <c r="B33" s="296"/>
      <c r="C33" s="296"/>
      <c r="D33" s="296"/>
      <c r="E33" s="297"/>
      <c r="F33" s="71" t="s">
        <v>66</v>
      </c>
      <c r="G33" s="99">
        <f>62+1008+300</f>
        <v>1370</v>
      </c>
      <c r="H33" s="298"/>
      <c r="I33" s="284"/>
      <c r="J33" s="108"/>
      <c r="K33" s="58"/>
    </row>
    <row r="34" spans="1:11" ht="28.5" customHeight="1" thickBot="1">
      <c r="A34" s="356" t="s">
        <v>199</v>
      </c>
      <c r="B34" s="357"/>
      <c r="C34" s="357"/>
      <c r="D34" s="357"/>
      <c r="E34" s="358"/>
      <c r="F34" s="73" t="s">
        <v>19</v>
      </c>
      <c r="G34" s="73">
        <f>(G32-G33)/0.8</f>
        <v>131.25</v>
      </c>
      <c r="H34" s="299"/>
      <c r="I34" s="286"/>
      <c r="J34" s="108"/>
      <c r="K34" s="58"/>
    </row>
    <row r="35" spans="1:11">
      <c r="A35" s="58"/>
      <c r="B35" s="58"/>
      <c r="C35" s="58"/>
      <c r="D35" s="58"/>
      <c r="E35" s="58"/>
      <c r="F35" s="58"/>
      <c r="G35" s="59"/>
      <c r="H35" s="105"/>
      <c r="I35" s="58"/>
      <c r="J35" s="108"/>
      <c r="K35" s="58"/>
    </row>
    <row r="36" spans="1:11" ht="55.5" customHeight="1" thickBot="1">
      <c r="A36" s="391" t="s">
        <v>181</v>
      </c>
      <c r="B36" s="391"/>
      <c r="C36" s="391"/>
      <c r="D36" s="391"/>
      <c r="E36" s="391"/>
      <c r="F36" s="391"/>
      <c r="G36" s="391"/>
      <c r="H36" s="391"/>
      <c r="I36" s="391"/>
      <c r="J36" s="214" t="s">
        <v>301</v>
      </c>
      <c r="K36" s="58"/>
    </row>
    <row r="37" spans="1:11" ht="25.5">
      <c r="A37" s="308" t="s">
        <v>25</v>
      </c>
      <c r="B37" s="309"/>
      <c r="C37" s="309"/>
      <c r="D37" s="309"/>
      <c r="E37" s="309"/>
      <c r="F37" s="54" t="s">
        <v>26</v>
      </c>
      <c r="G37" s="89" t="s">
        <v>27</v>
      </c>
      <c r="H37" s="89" t="s">
        <v>28</v>
      </c>
      <c r="I37" s="63" t="s">
        <v>9</v>
      </c>
      <c r="J37" s="108"/>
      <c r="K37" s="58"/>
    </row>
    <row r="38" spans="1:11" ht="38.25">
      <c r="A38" s="306" t="s">
        <v>182</v>
      </c>
      <c r="B38" s="296"/>
      <c r="C38" s="296"/>
      <c r="D38" s="296"/>
      <c r="E38" s="297"/>
      <c r="F38" s="71" t="s">
        <v>30</v>
      </c>
      <c r="G38" s="99">
        <f>1550+2100+714</f>
        <v>4364</v>
      </c>
      <c r="H38" s="304">
        <v>1</v>
      </c>
      <c r="I38" s="375"/>
      <c r="J38" s="108"/>
      <c r="K38" s="58"/>
    </row>
    <row r="39" spans="1:11" ht="38.25">
      <c r="A39" s="306" t="s">
        <v>322</v>
      </c>
      <c r="B39" s="296"/>
      <c r="C39" s="296"/>
      <c r="D39" s="296"/>
      <c r="E39" s="297"/>
      <c r="F39" s="71" t="s">
        <v>66</v>
      </c>
      <c r="G39" s="99">
        <f>1180+(127*9)+(34*10)</f>
        <v>2663</v>
      </c>
      <c r="H39" s="304"/>
      <c r="I39" s="375"/>
      <c r="J39" s="108"/>
      <c r="K39" s="27"/>
    </row>
    <row r="40" spans="1:11">
      <c r="A40" s="365" t="s">
        <v>323</v>
      </c>
      <c r="B40" s="366"/>
      <c r="C40" s="366"/>
      <c r="D40" s="366"/>
      <c r="E40" s="367"/>
      <c r="F40" s="71" t="s">
        <v>74</v>
      </c>
      <c r="G40" s="99">
        <f>G38-G39</f>
        <v>1701</v>
      </c>
      <c r="H40" s="304"/>
      <c r="I40" s="375"/>
      <c r="J40" s="108"/>
      <c r="K40" s="58"/>
    </row>
    <row r="41" spans="1:11" ht="25.5">
      <c r="A41" s="365" t="s">
        <v>75</v>
      </c>
      <c r="B41" s="366"/>
      <c r="C41" s="366"/>
      <c r="D41" s="366"/>
      <c r="E41" s="367"/>
      <c r="F41" s="71" t="s">
        <v>76</v>
      </c>
      <c r="G41" s="99">
        <f>G40*3.5</f>
        <v>5953.5</v>
      </c>
      <c r="H41" s="304"/>
      <c r="I41" s="375"/>
      <c r="J41" s="108"/>
      <c r="K41" s="58"/>
    </row>
    <row r="42" spans="1:11" ht="39.75" customHeight="1" thickBot="1">
      <c r="A42" s="356" t="s">
        <v>324</v>
      </c>
      <c r="B42" s="357"/>
      <c r="C42" s="357"/>
      <c r="D42" s="357"/>
      <c r="E42" s="358"/>
      <c r="F42" s="73" t="s">
        <v>76</v>
      </c>
      <c r="G42" s="125">
        <f>G41-5000</f>
        <v>953.5</v>
      </c>
      <c r="H42" s="305"/>
      <c r="I42" s="376"/>
      <c r="J42" s="218"/>
      <c r="K42" s="58"/>
    </row>
    <row r="43" spans="1:11">
      <c r="A43" s="58"/>
      <c r="B43" s="58"/>
      <c r="C43" s="58"/>
      <c r="D43" s="58"/>
      <c r="E43" s="58"/>
      <c r="F43" s="58"/>
      <c r="G43" s="59"/>
      <c r="H43" s="105"/>
      <c r="I43" s="58"/>
      <c r="J43" s="108"/>
      <c r="K43" s="58"/>
    </row>
    <row r="44" spans="1:11" ht="15.75" thickBot="1">
      <c r="A44" s="390" t="s">
        <v>183</v>
      </c>
      <c r="B44" s="391"/>
      <c r="C44" s="391"/>
      <c r="D44" s="391"/>
      <c r="E44" s="391"/>
      <c r="F44" s="391"/>
      <c r="G44" s="391"/>
      <c r="H44" s="391"/>
      <c r="I44" s="391"/>
      <c r="J44" s="14" t="s">
        <v>302</v>
      </c>
      <c r="K44" s="58"/>
    </row>
    <row r="45" spans="1:11" ht="25.5">
      <c r="A45" s="386" t="s">
        <v>25</v>
      </c>
      <c r="B45" s="387"/>
      <c r="C45" s="387"/>
      <c r="D45" s="387"/>
      <c r="E45" s="387"/>
      <c r="F45" s="54" t="s">
        <v>26</v>
      </c>
      <c r="G45" s="89" t="s">
        <v>27</v>
      </c>
      <c r="H45" s="89" t="s">
        <v>28</v>
      </c>
      <c r="I45" s="63" t="s">
        <v>9</v>
      </c>
      <c r="J45" s="108"/>
      <c r="K45" s="58"/>
    </row>
    <row r="46" spans="1:11" ht="24" customHeight="1">
      <c r="A46" s="388" t="s">
        <v>200</v>
      </c>
      <c r="B46" s="389"/>
      <c r="C46" s="389"/>
      <c r="D46" s="389"/>
      <c r="E46" s="389"/>
      <c r="F46" s="75" t="s">
        <v>19</v>
      </c>
      <c r="G46" s="99">
        <f>20*5</f>
        <v>100</v>
      </c>
      <c r="H46" s="304">
        <v>1</v>
      </c>
      <c r="I46" s="375"/>
      <c r="J46" s="108"/>
      <c r="K46" s="58"/>
    </row>
    <row r="47" spans="1:11" ht="15" customHeight="1">
      <c r="A47" s="383" t="s">
        <v>105</v>
      </c>
      <c r="B47" s="384"/>
      <c r="C47" s="384"/>
      <c r="D47" s="384"/>
      <c r="E47" s="385"/>
      <c r="F47" s="75" t="s">
        <v>19</v>
      </c>
      <c r="G47" s="99">
        <v>0</v>
      </c>
      <c r="H47" s="304"/>
      <c r="I47" s="375"/>
      <c r="J47" s="108"/>
      <c r="K47" s="58"/>
    </row>
    <row r="48" spans="1:11">
      <c r="A48" s="383" t="s">
        <v>201</v>
      </c>
      <c r="B48" s="384"/>
      <c r="C48" s="384"/>
      <c r="D48" s="384"/>
      <c r="E48" s="385"/>
      <c r="F48" s="75" t="s">
        <v>19</v>
      </c>
      <c r="G48" s="99">
        <v>30</v>
      </c>
      <c r="H48" s="304"/>
      <c r="I48" s="375"/>
      <c r="J48" s="108"/>
      <c r="K48" s="58"/>
    </row>
    <row r="49" spans="1:16" ht="28.5" customHeight="1">
      <c r="A49" s="388" t="s">
        <v>103</v>
      </c>
      <c r="B49" s="389"/>
      <c r="C49" s="389"/>
      <c r="D49" s="389"/>
      <c r="E49" s="389"/>
      <c r="F49" s="75" t="s">
        <v>104</v>
      </c>
      <c r="G49" s="99">
        <f>20*5</f>
        <v>100</v>
      </c>
      <c r="H49" s="304">
        <v>1</v>
      </c>
      <c r="I49" s="375"/>
      <c r="J49" s="108"/>
      <c r="K49" s="58"/>
    </row>
    <row r="50" spans="1:16">
      <c r="A50" s="383" t="s">
        <v>101</v>
      </c>
      <c r="B50" s="384"/>
      <c r="C50" s="384"/>
      <c r="D50" s="384"/>
      <c r="E50" s="385"/>
      <c r="F50" s="75" t="s">
        <v>104</v>
      </c>
      <c r="G50" s="99">
        <v>0</v>
      </c>
      <c r="H50" s="304"/>
      <c r="I50" s="375"/>
      <c r="J50" s="108"/>
      <c r="K50" s="58"/>
    </row>
    <row r="51" spans="1:16" ht="15.75" thickBot="1">
      <c r="A51" s="377" t="s">
        <v>102</v>
      </c>
      <c r="B51" s="378"/>
      <c r="C51" s="378"/>
      <c r="D51" s="378"/>
      <c r="E51" s="379"/>
      <c r="F51" s="53" t="s">
        <v>104</v>
      </c>
      <c r="G51" s="73">
        <v>30</v>
      </c>
      <c r="H51" s="305"/>
      <c r="I51" s="376"/>
      <c r="J51" s="108"/>
      <c r="K51" s="58"/>
    </row>
    <row r="52" spans="1:16">
      <c r="A52" s="76"/>
      <c r="B52" s="76"/>
      <c r="C52" s="76"/>
      <c r="D52" s="76"/>
      <c r="E52" s="76"/>
      <c r="F52" s="61"/>
      <c r="G52" s="61"/>
      <c r="H52" s="61"/>
      <c r="I52" s="77"/>
      <c r="J52" s="108"/>
      <c r="K52" s="58"/>
    </row>
    <row r="53" spans="1:16" s="26" customFormat="1" ht="15.75" thickBot="1">
      <c r="A53" s="382" t="s">
        <v>202</v>
      </c>
      <c r="B53" s="382"/>
      <c r="C53" s="382"/>
      <c r="D53" s="382"/>
      <c r="E53" s="382"/>
      <c r="F53" s="382"/>
      <c r="G53" s="382"/>
      <c r="H53" s="382"/>
      <c r="I53" s="382"/>
      <c r="J53" s="14" t="s">
        <v>305</v>
      </c>
    </row>
    <row r="54" spans="1:16" ht="25.5">
      <c r="A54" s="386" t="s">
        <v>25</v>
      </c>
      <c r="B54" s="387"/>
      <c r="C54" s="387"/>
      <c r="D54" s="387"/>
      <c r="E54" s="387"/>
      <c r="F54" s="54" t="s">
        <v>26</v>
      </c>
      <c r="G54" s="89" t="s">
        <v>27</v>
      </c>
      <c r="H54" s="89" t="s">
        <v>28</v>
      </c>
      <c r="I54" s="63" t="s">
        <v>9</v>
      </c>
      <c r="J54" s="108"/>
      <c r="K54" s="58"/>
      <c r="P54" t="s">
        <v>36</v>
      </c>
    </row>
    <row r="55" spans="1:16">
      <c r="A55" s="388" t="s">
        <v>203</v>
      </c>
      <c r="B55" s="389"/>
      <c r="C55" s="389"/>
      <c r="D55" s="389"/>
      <c r="E55" s="389"/>
      <c r="F55" s="75" t="s">
        <v>19</v>
      </c>
      <c r="G55" s="99">
        <f>60/0.8</f>
        <v>75</v>
      </c>
      <c r="H55" s="304">
        <v>1</v>
      </c>
      <c r="I55" s="375"/>
      <c r="J55" s="108"/>
      <c r="K55" s="58"/>
    </row>
    <row r="56" spans="1:16">
      <c r="A56" s="383" t="s">
        <v>81</v>
      </c>
      <c r="B56" s="384"/>
      <c r="C56" s="384"/>
      <c r="D56" s="384"/>
      <c r="E56" s="385"/>
      <c r="F56" s="75" t="s">
        <v>56</v>
      </c>
      <c r="G56" s="99">
        <f>60/0.8</f>
        <v>75</v>
      </c>
      <c r="H56" s="304"/>
      <c r="I56" s="375"/>
      <c r="J56" s="108"/>
      <c r="K56" s="58"/>
    </row>
    <row r="57" spans="1:16" ht="15.75" thickBot="1">
      <c r="A57" s="377" t="s">
        <v>79</v>
      </c>
      <c r="B57" s="378"/>
      <c r="C57" s="378"/>
      <c r="D57" s="378"/>
      <c r="E57" s="379"/>
      <c r="F57" s="53" t="s">
        <v>56</v>
      </c>
      <c r="G57" s="73">
        <v>70</v>
      </c>
      <c r="H57" s="305"/>
      <c r="I57" s="376"/>
      <c r="J57" s="108"/>
      <c r="K57" s="58"/>
    </row>
    <row r="58" spans="1:16">
      <c r="A58" s="76"/>
      <c r="B58" s="76"/>
      <c r="C58" s="76"/>
      <c r="D58" s="76"/>
      <c r="E58" s="76"/>
      <c r="F58" s="58"/>
      <c r="G58" s="59"/>
      <c r="H58" s="105"/>
      <c r="I58" s="58"/>
      <c r="J58" s="108"/>
      <c r="K58" s="58"/>
    </row>
    <row r="59" spans="1:16" s="25" customFormat="1" ht="15.75" thickBot="1">
      <c r="A59" s="382" t="s">
        <v>80</v>
      </c>
      <c r="B59" s="382"/>
      <c r="C59" s="382"/>
      <c r="D59" s="382"/>
      <c r="E59" s="382"/>
      <c r="F59" s="382"/>
      <c r="G59" s="382"/>
      <c r="H59" s="382"/>
      <c r="I59" s="382"/>
      <c r="J59" s="14" t="s">
        <v>304</v>
      </c>
    </row>
    <row r="60" spans="1:16" ht="25.5">
      <c r="A60" s="308" t="s">
        <v>25</v>
      </c>
      <c r="B60" s="309"/>
      <c r="C60" s="309"/>
      <c r="D60" s="309"/>
      <c r="E60" s="309"/>
      <c r="F60" s="78" t="s">
        <v>26</v>
      </c>
      <c r="G60" s="89" t="s">
        <v>27</v>
      </c>
      <c r="H60" s="89" t="s">
        <v>28</v>
      </c>
      <c r="I60" s="63" t="s">
        <v>9</v>
      </c>
      <c r="J60" s="108"/>
      <c r="K60" s="58"/>
      <c r="L60" s="27"/>
    </row>
    <row r="61" spans="1:16">
      <c r="A61" s="380" t="s">
        <v>83</v>
      </c>
      <c r="B61" s="381"/>
      <c r="C61" s="381"/>
      <c r="D61" s="381"/>
      <c r="E61" s="381"/>
      <c r="F61" s="75" t="s">
        <v>19</v>
      </c>
      <c r="G61" s="99">
        <f>200/0.8</f>
        <v>250</v>
      </c>
      <c r="H61" s="304">
        <v>1</v>
      </c>
      <c r="I61" s="375"/>
      <c r="J61" s="108"/>
      <c r="K61" s="58"/>
    </row>
    <row r="62" spans="1:16" ht="15" customHeight="1" thickBot="1">
      <c r="A62" s="377" t="s">
        <v>79</v>
      </c>
      <c r="B62" s="378"/>
      <c r="C62" s="378"/>
      <c r="D62" s="378"/>
      <c r="E62" s="379"/>
      <c r="F62" s="53" t="s">
        <v>56</v>
      </c>
      <c r="G62" s="73">
        <v>250</v>
      </c>
      <c r="H62" s="305"/>
      <c r="I62" s="376"/>
      <c r="J62" s="108"/>
      <c r="K62" s="58"/>
    </row>
    <row r="63" spans="1:16" ht="15" customHeight="1">
      <c r="A63" s="76"/>
      <c r="B63" s="76"/>
      <c r="C63" s="76"/>
      <c r="D63" s="76"/>
      <c r="E63" s="76"/>
      <c r="F63" s="61"/>
      <c r="G63" s="61"/>
      <c r="H63" s="61"/>
      <c r="I63" s="77"/>
      <c r="J63" s="108"/>
      <c r="K63" s="58"/>
    </row>
    <row r="64" spans="1:16" s="28" customFormat="1" ht="18.75" customHeight="1" thickBot="1">
      <c r="A64" s="382" t="s">
        <v>85</v>
      </c>
      <c r="B64" s="382"/>
      <c r="C64" s="382"/>
      <c r="D64" s="382"/>
      <c r="E64" s="382"/>
      <c r="F64" s="382"/>
      <c r="G64" s="382"/>
      <c r="H64" s="382"/>
      <c r="I64" s="382"/>
      <c r="J64" s="14" t="s">
        <v>304</v>
      </c>
    </row>
    <row r="65" spans="1:11" s="27" customFormat="1" ht="25.5">
      <c r="A65" s="308" t="s">
        <v>25</v>
      </c>
      <c r="B65" s="309"/>
      <c r="C65" s="309"/>
      <c r="D65" s="309"/>
      <c r="E65" s="309"/>
      <c r="F65" s="78" t="s">
        <v>26</v>
      </c>
      <c r="G65" s="89" t="s">
        <v>27</v>
      </c>
      <c r="H65" s="89" t="s">
        <v>28</v>
      </c>
      <c r="I65" s="63" t="s">
        <v>9</v>
      </c>
      <c r="J65" s="109"/>
      <c r="K65" s="25"/>
    </row>
    <row r="66" spans="1:11" ht="15" customHeight="1" thickBot="1">
      <c r="A66" s="377" t="s">
        <v>204</v>
      </c>
      <c r="B66" s="378"/>
      <c r="C66" s="378"/>
      <c r="D66" s="378"/>
      <c r="E66" s="379"/>
      <c r="F66" s="53" t="s">
        <v>56</v>
      </c>
      <c r="G66" s="73">
        <v>500</v>
      </c>
      <c r="H66" s="73">
        <v>0.5</v>
      </c>
      <c r="I66" s="79"/>
      <c r="J66" s="108"/>
      <c r="K66" s="58"/>
    </row>
    <row r="67" spans="1:11" ht="10.5" customHeight="1">
      <c r="A67" s="76"/>
      <c r="B67" s="76"/>
      <c r="C67" s="76"/>
      <c r="D67" s="76"/>
      <c r="E67" s="76"/>
      <c r="F67" s="61"/>
      <c r="G67" s="61"/>
      <c r="H67" s="61"/>
      <c r="I67" s="77"/>
      <c r="J67" s="108"/>
      <c r="K67" s="58"/>
    </row>
    <row r="68" spans="1:11" s="4" customFormat="1" ht="15" customHeight="1" thickBot="1">
      <c r="A68" s="371" t="s">
        <v>87</v>
      </c>
      <c r="B68" s="371"/>
      <c r="C68" s="371"/>
      <c r="D68" s="371"/>
      <c r="E68" s="371"/>
      <c r="F68" s="371"/>
      <c r="G68" s="371"/>
      <c r="H68" s="371"/>
      <c r="I68" s="371"/>
      <c r="J68" s="14" t="s">
        <v>303</v>
      </c>
      <c r="K68" s="80"/>
    </row>
    <row r="69" spans="1:11" ht="25.5">
      <c r="A69" s="308" t="s">
        <v>25</v>
      </c>
      <c r="B69" s="309"/>
      <c r="C69" s="309"/>
      <c r="D69" s="309"/>
      <c r="E69" s="309"/>
      <c r="F69" s="78" t="s">
        <v>26</v>
      </c>
      <c r="G69" s="89" t="s">
        <v>27</v>
      </c>
      <c r="H69" s="89" t="s">
        <v>28</v>
      </c>
      <c r="I69" s="63" t="s">
        <v>9</v>
      </c>
      <c r="J69" s="108"/>
      <c r="K69" s="58"/>
    </row>
    <row r="70" spans="1:11" ht="15" customHeight="1">
      <c r="A70" s="380" t="s">
        <v>106</v>
      </c>
      <c r="B70" s="381"/>
      <c r="C70" s="381"/>
      <c r="D70" s="381"/>
      <c r="E70" s="381"/>
      <c r="F70" s="75" t="s">
        <v>19</v>
      </c>
      <c r="G70" s="99">
        <f>100/0.8*2</f>
        <v>250</v>
      </c>
      <c r="H70" s="304">
        <v>1</v>
      </c>
      <c r="I70" s="375"/>
      <c r="J70" s="108"/>
      <c r="K70" s="58"/>
    </row>
    <row r="71" spans="1:11" ht="15" customHeight="1">
      <c r="A71" s="413" t="s">
        <v>107</v>
      </c>
      <c r="B71" s="414"/>
      <c r="C71" s="414"/>
      <c r="D71" s="414"/>
      <c r="E71" s="415"/>
      <c r="F71" s="75" t="s">
        <v>56</v>
      </c>
      <c r="G71" s="99">
        <v>250</v>
      </c>
      <c r="H71" s="304"/>
      <c r="I71" s="375"/>
      <c r="J71" s="108"/>
      <c r="K71" s="58"/>
    </row>
    <row r="72" spans="1:11" ht="15" customHeight="1" thickBot="1">
      <c r="A72" s="377" t="s">
        <v>88</v>
      </c>
      <c r="B72" s="378"/>
      <c r="C72" s="378"/>
      <c r="D72" s="378"/>
      <c r="E72" s="379"/>
      <c r="F72" s="53" t="s">
        <v>56</v>
      </c>
      <c r="G72" s="73">
        <v>100</v>
      </c>
      <c r="H72" s="305"/>
      <c r="I72" s="376"/>
      <c r="J72" s="108"/>
      <c r="K72" s="58"/>
    </row>
    <row r="73" spans="1:11" ht="11.25" customHeight="1">
      <c r="A73" s="76"/>
      <c r="B73" s="76"/>
      <c r="C73" s="76"/>
      <c r="D73" s="76"/>
      <c r="E73" s="76"/>
      <c r="F73" s="61"/>
      <c r="G73" s="61"/>
      <c r="H73" s="61"/>
      <c r="I73" s="77"/>
      <c r="J73" s="108"/>
      <c r="K73" s="58"/>
    </row>
    <row r="74" spans="1:11" s="4" customFormat="1" ht="15" customHeight="1" thickBot="1">
      <c r="A74" s="371" t="s">
        <v>174</v>
      </c>
      <c r="B74" s="371"/>
      <c r="C74" s="371"/>
      <c r="D74" s="371"/>
      <c r="E74" s="371"/>
      <c r="F74" s="371"/>
      <c r="G74" s="371"/>
      <c r="H74" s="371"/>
      <c r="I74" s="371"/>
      <c r="J74" s="110"/>
      <c r="K74" s="80"/>
    </row>
    <row r="75" spans="1:11" ht="33" customHeight="1">
      <c r="A75" s="308" t="s">
        <v>25</v>
      </c>
      <c r="B75" s="309"/>
      <c r="C75" s="309"/>
      <c r="D75" s="309"/>
      <c r="E75" s="309"/>
      <c r="F75" s="78" t="s">
        <v>26</v>
      </c>
      <c r="G75" s="89" t="s">
        <v>27</v>
      </c>
      <c r="H75" s="89" t="s">
        <v>28</v>
      </c>
      <c r="I75" s="63" t="s">
        <v>9</v>
      </c>
      <c r="J75" s="14" t="s">
        <v>299</v>
      </c>
      <c r="K75" s="58"/>
    </row>
    <row r="76" spans="1:11" ht="26.25" customHeight="1">
      <c r="A76" s="372" t="s">
        <v>91</v>
      </c>
      <c r="B76" s="373"/>
      <c r="C76" s="373"/>
      <c r="D76" s="373"/>
      <c r="E76" s="374"/>
      <c r="F76" s="75" t="s">
        <v>19</v>
      </c>
      <c r="G76" s="126">
        <f>10000*(20%-12%)/365*15</f>
        <v>32.876712328767127</v>
      </c>
      <c r="H76" s="304">
        <v>1</v>
      </c>
      <c r="I76" s="375"/>
      <c r="J76" s="108" t="s">
        <v>62</v>
      </c>
      <c r="K76" s="58"/>
    </row>
    <row r="77" spans="1:11" ht="15" customHeight="1" thickBot="1">
      <c r="A77" s="377" t="s">
        <v>88</v>
      </c>
      <c r="B77" s="378"/>
      <c r="C77" s="378"/>
      <c r="D77" s="378"/>
      <c r="E77" s="379"/>
      <c r="F77" s="53" t="s">
        <v>56</v>
      </c>
      <c r="G77" s="125">
        <f>G76</f>
        <v>32.876712328767127</v>
      </c>
      <c r="H77" s="305"/>
      <c r="I77" s="376"/>
      <c r="J77" s="108"/>
      <c r="K77" s="58"/>
    </row>
    <row r="78" spans="1:11" ht="10.5" customHeight="1">
      <c r="A78" s="81"/>
      <c r="B78" s="81"/>
      <c r="C78" s="81"/>
      <c r="D78" s="81"/>
      <c r="E78" s="81"/>
      <c r="F78" s="61"/>
      <c r="G78" s="61"/>
      <c r="H78" s="61"/>
      <c r="I78" s="77"/>
      <c r="J78" s="108"/>
      <c r="K78" s="58"/>
    </row>
    <row r="79" spans="1:11" ht="15" customHeight="1" thickBot="1">
      <c r="A79" s="371" t="s">
        <v>92</v>
      </c>
      <c r="B79" s="371"/>
      <c r="C79" s="371"/>
      <c r="D79" s="371"/>
      <c r="E79" s="371"/>
      <c r="F79" s="371"/>
      <c r="G79" s="371"/>
      <c r="H79" s="371"/>
      <c r="I79" s="371"/>
      <c r="J79" s="14" t="s">
        <v>306</v>
      </c>
      <c r="K79" s="58"/>
    </row>
    <row r="80" spans="1:11" ht="25.5">
      <c r="A80" s="308" t="s">
        <v>25</v>
      </c>
      <c r="B80" s="309"/>
      <c r="C80" s="309"/>
      <c r="D80" s="309"/>
      <c r="E80" s="309"/>
      <c r="F80" s="78" t="s">
        <v>26</v>
      </c>
      <c r="G80" s="89" t="s">
        <v>27</v>
      </c>
      <c r="H80" s="89" t="s">
        <v>28</v>
      </c>
      <c r="I80" s="63" t="s">
        <v>9</v>
      </c>
      <c r="J80" s="108"/>
      <c r="K80" s="58"/>
    </row>
    <row r="81" spans="1:11" ht="15" customHeight="1">
      <c r="A81" s="413" t="s">
        <v>205</v>
      </c>
      <c r="B81" s="414"/>
      <c r="C81" s="414"/>
      <c r="D81" s="414"/>
      <c r="E81" s="415"/>
      <c r="F81" s="75" t="s">
        <v>19</v>
      </c>
      <c r="G81" s="126">
        <v>1500</v>
      </c>
      <c r="H81" s="304">
        <v>1</v>
      </c>
      <c r="I81" s="375"/>
      <c r="J81" s="108"/>
      <c r="K81" s="58"/>
    </row>
    <row r="82" spans="1:11" ht="15" customHeight="1" thickBot="1">
      <c r="A82" s="377" t="s">
        <v>88</v>
      </c>
      <c r="B82" s="378"/>
      <c r="C82" s="378"/>
      <c r="D82" s="378"/>
      <c r="E82" s="379"/>
      <c r="F82" s="53" t="s">
        <v>56</v>
      </c>
      <c r="G82" s="125">
        <f>G81</f>
        <v>1500</v>
      </c>
      <c r="H82" s="305"/>
      <c r="I82" s="376"/>
      <c r="J82" s="108"/>
      <c r="K82" s="58"/>
    </row>
    <row r="83" spans="1:11" ht="12" customHeight="1">
      <c r="A83" s="81"/>
      <c r="B83" s="81"/>
      <c r="C83" s="81"/>
      <c r="D83" s="81"/>
      <c r="E83" s="81"/>
      <c r="F83" s="61"/>
      <c r="G83" s="61"/>
      <c r="H83" s="61"/>
      <c r="I83" s="77"/>
      <c r="J83" s="108"/>
      <c r="K83" s="58"/>
    </row>
    <row r="84" spans="1:11" ht="15" customHeight="1" thickBot="1">
      <c r="A84" s="371" t="s">
        <v>95</v>
      </c>
      <c r="B84" s="371"/>
      <c r="C84" s="371"/>
      <c r="D84" s="371"/>
      <c r="E84" s="371"/>
      <c r="F84" s="371"/>
      <c r="G84" s="371"/>
      <c r="H84" s="371"/>
      <c r="I84" s="371"/>
      <c r="J84" s="14" t="s">
        <v>307</v>
      </c>
      <c r="K84" s="58"/>
    </row>
    <row r="85" spans="1:11" ht="33" customHeight="1">
      <c r="A85" s="308" t="s">
        <v>25</v>
      </c>
      <c r="B85" s="309"/>
      <c r="C85" s="309"/>
      <c r="D85" s="309"/>
      <c r="E85" s="309"/>
      <c r="F85" s="78" t="s">
        <v>26</v>
      </c>
      <c r="G85" s="89" t="s">
        <v>27</v>
      </c>
      <c r="H85" s="89" t="s">
        <v>28</v>
      </c>
      <c r="I85" s="63" t="s">
        <v>9</v>
      </c>
      <c r="J85" s="108"/>
      <c r="K85" s="58"/>
    </row>
    <row r="86" spans="1:11" ht="15" customHeight="1" thickBot="1">
      <c r="A86" s="399">
        <v>1000</v>
      </c>
      <c r="B86" s="400"/>
      <c r="C86" s="400"/>
      <c r="D86" s="400"/>
      <c r="E86" s="401"/>
      <c r="F86" s="53" t="s">
        <v>19</v>
      </c>
      <c r="G86" s="125">
        <v>1000</v>
      </c>
      <c r="H86" s="73">
        <v>1</v>
      </c>
      <c r="I86" s="79"/>
      <c r="J86" s="108"/>
      <c r="K86" s="58"/>
    </row>
    <row r="87" spans="1:11" ht="15" customHeight="1">
      <c r="A87" s="81"/>
      <c r="B87" s="81"/>
      <c r="C87" s="81"/>
      <c r="D87" s="81"/>
      <c r="E87" s="81"/>
      <c r="F87" s="61"/>
      <c r="G87" s="61"/>
      <c r="H87" s="61"/>
      <c r="I87" s="77"/>
      <c r="J87" s="108"/>
      <c r="K87" s="58"/>
    </row>
    <row r="88" spans="1:11" ht="15" customHeight="1" thickBot="1">
      <c r="A88" s="371" t="s">
        <v>96</v>
      </c>
      <c r="B88" s="371"/>
      <c r="C88" s="371"/>
      <c r="D88" s="371"/>
      <c r="E88" s="371"/>
      <c r="F88" s="371"/>
      <c r="G88" s="371"/>
      <c r="H88" s="371"/>
      <c r="I88" s="371"/>
      <c r="J88" s="108"/>
      <c r="K88" s="58"/>
    </row>
    <row r="89" spans="1:11" ht="25.5">
      <c r="A89" s="308" t="s">
        <v>25</v>
      </c>
      <c r="B89" s="309"/>
      <c r="C89" s="309"/>
      <c r="D89" s="309"/>
      <c r="E89" s="309"/>
      <c r="F89" s="78" t="s">
        <v>26</v>
      </c>
      <c r="G89" s="89" t="s">
        <v>27</v>
      </c>
      <c r="H89" s="89" t="s">
        <v>28</v>
      </c>
      <c r="I89" s="63" t="s">
        <v>9</v>
      </c>
      <c r="J89" s="108"/>
      <c r="K89" s="58"/>
    </row>
    <row r="90" spans="1:11" ht="15" customHeight="1" thickBot="1">
      <c r="A90" s="399" t="s">
        <v>109</v>
      </c>
      <c r="B90" s="400"/>
      <c r="C90" s="400"/>
      <c r="D90" s="400"/>
      <c r="E90" s="401"/>
      <c r="F90" s="53" t="s">
        <v>19</v>
      </c>
      <c r="G90" s="125">
        <f>4080/0.8</f>
        <v>5100</v>
      </c>
      <c r="H90" s="73">
        <v>1</v>
      </c>
      <c r="I90" s="79"/>
      <c r="J90" s="108" t="s">
        <v>316</v>
      </c>
      <c r="K90" s="58"/>
    </row>
    <row r="91" spans="1:11" ht="15" customHeight="1">
      <c r="A91" s="81"/>
      <c r="B91" s="81"/>
      <c r="C91" s="81"/>
      <c r="D91" s="81"/>
      <c r="E91" s="81"/>
      <c r="F91" s="61"/>
      <c r="G91" s="61"/>
      <c r="H91" s="61"/>
      <c r="I91" s="77"/>
      <c r="J91" s="108"/>
      <c r="K91" s="58"/>
    </row>
    <row r="92" spans="1:11" ht="15" customHeight="1" thickBot="1">
      <c r="A92" s="397" t="s">
        <v>110</v>
      </c>
      <c r="B92" s="397"/>
      <c r="C92" s="397"/>
      <c r="D92" s="397"/>
      <c r="E92" s="397"/>
      <c r="F92" s="61"/>
      <c r="G92" s="61"/>
      <c r="H92" s="61"/>
      <c r="I92" s="77"/>
      <c r="J92" s="108"/>
      <c r="K92" s="58"/>
    </row>
    <row r="93" spans="1:11" ht="25.5">
      <c r="A93" s="308" t="s">
        <v>25</v>
      </c>
      <c r="B93" s="309"/>
      <c r="C93" s="309"/>
      <c r="D93" s="309"/>
      <c r="E93" s="309"/>
      <c r="F93" s="78" t="s">
        <v>26</v>
      </c>
      <c r="G93" s="89" t="s">
        <v>27</v>
      </c>
      <c r="H93" s="89" t="s">
        <v>28</v>
      </c>
      <c r="I93" s="63" t="s">
        <v>9</v>
      </c>
      <c r="J93" s="108"/>
      <c r="K93" s="58"/>
    </row>
    <row r="94" spans="1:11" ht="15" customHeight="1">
      <c r="A94" s="413" t="s">
        <v>331</v>
      </c>
      <c r="B94" s="414"/>
      <c r="C94" s="414"/>
      <c r="D94" s="414"/>
      <c r="E94" s="415"/>
      <c r="F94" s="75" t="s">
        <v>19</v>
      </c>
      <c r="G94" s="126">
        <f>'ხელფასის უწყისი'!E11</f>
        <v>4973.5</v>
      </c>
      <c r="H94" s="289">
        <v>1</v>
      </c>
      <c r="I94" s="131"/>
      <c r="J94" s="108"/>
      <c r="K94" s="58"/>
    </row>
    <row r="95" spans="1:11" ht="25.5">
      <c r="A95" s="424" t="s">
        <v>332</v>
      </c>
      <c r="B95" s="425"/>
      <c r="C95" s="425"/>
      <c r="D95" s="425"/>
      <c r="E95" s="426"/>
      <c r="F95" s="71" t="s">
        <v>175</v>
      </c>
      <c r="G95" s="99">
        <f>G94*20%</f>
        <v>994.7</v>
      </c>
      <c r="H95" s="290"/>
      <c r="I95" s="133"/>
      <c r="J95" s="108"/>
      <c r="K95" s="82"/>
    </row>
    <row r="96" spans="1:11" ht="30.75" customHeight="1" thickBot="1">
      <c r="A96" s="427" t="s">
        <v>333</v>
      </c>
      <c r="B96" s="428"/>
      <c r="C96" s="428"/>
      <c r="D96" s="428"/>
      <c r="E96" s="429"/>
      <c r="F96" s="73"/>
      <c r="G96" s="73">
        <f>(G94-G95)/4</f>
        <v>994.7</v>
      </c>
      <c r="H96" s="73">
        <v>0.5</v>
      </c>
      <c r="I96" s="132"/>
      <c r="J96" s="108"/>
      <c r="K96" s="58"/>
    </row>
    <row r="97" spans="1:15" ht="10.5" customHeight="1">
      <c r="A97" s="81"/>
      <c r="B97" s="81"/>
      <c r="C97" s="81"/>
      <c r="D97" s="81"/>
      <c r="E97" s="81"/>
      <c r="F97" s="61"/>
      <c r="G97" s="61"/>
      <c r="H97" s="61"/>
      <c r="I97" s="77"/>
      <c r="J97" s="108"/>
      <c r="K97" s="58"/>
    </row>
    <row r="98" spans="1:15" s="4" customFormat="1" ht="15.75" thickBot="1">
      <c r="A98" s="359" t="s">
        <v>114</v>
      </c>
      <c r="B98" s="359"/>
      <c r="C98" s="359"/>
      <c r="D98" s="359"/>
      <c r="E98" s="359"/>
      <c r="F98" s="359"/>
      <c r="G98" s="359"/>
      <c r="H98" s="359"/>
      <c r="I98" s="359"/>
      <c r="J98" s="108" t="s">
        <v>308</v>
      </c>
      <c r="K98" s="80"/>
    </row>
    <row r="99" spans="1:15" ht="26.25" thickBot="1">
      <c r="A99" s="308" t="s">
        <v>25</v>
      </c>
      <c r="B99" s="309"/>
      <c r="C99" s="309"/>
      <c r="D99" s="309"/>
      <c r="E99" s="309"/>
      <c r="F99" s="83" t="s">
        <v>26</v>
      </c>
      <c r="G99" s="116" t="s">
        <v>27</v>
      </c>
      <c r="H99" s="116" t="s">
        <v>28</v>
      </c>
      <c r="I99" s="84" t="s">
        <v>9</v>
      </c>
      <c r="J99" s="108"/>
      <c r="K99" s="58"/>
    </row>
    <row r="100" spans="1:15" ht="36.75" customHeight="1">
      <c r="A100" s="402">
        <v>10000</v>
      </c>
      <c r="B100" s="403"/>
      <c r="C100" s="403"/>
      <c r="D100" s="403"/>
      <c r="E100" s="404"/>
      <c r="F100" s="85" t="s">
        <v>31</v>
      </c>
      <c r="G100" s="89">
        <f>A100</f>
        <v>10000</v>
      </c>
      <c r="H100" s="333">
        <v>0.5</v>
      </c>
      <c r="I100" s="360"/>
      <c r="J100" s="108" t="s">
        <v>210</v>
      </c>
      <c r="K100" s="58"/>
    </row>
    <row r="101" spans="1:15" ht="27" customHeight="1" thickBot="1">
      <c r="A101" s="336" t="s">
        <v>48</v>
      </c>
      <c r="B101" s="337"/>
      <c r="C101" s="337"/>
      <c r="D101" s="337"/>
      <c r="E101" s="338"/>
      <c r="F101" s="86" t="s">
        <v>29</v>
      </c>
      <c r="G101" s="90">
        <f>G100*5%</f>
        <v>500</v>
      </c>
      <c r="H101" s="298"/>
      <c r="I101" s="398"/>
      <c r="J101" s="108" t="s">
        <v>211</v>
      </c>
      <c r="K101" s="58"/>
    </row>
    <row r="102" spans="1:15" ht="40.9" customHeight="1">
      <c r="A102" s="308">
        <v>10000</v>
      </c>
      <c r="B102" s="309"/>
      <c r="C102" s="309"/>
      <c r="D102" s="309"/>
      <c r="E102" s="309"/>
      <c r="F102" s="85" t="s">
        <v>34</v>
      </c>
      <c r="G102" s="89">
        <v>10000</v>
      </c>
      <c r="H102" s="333">
        <v>0.5</v>
      </c>
      <c r="I102" s="334"/>
      <c r="J102" s="108" t="s">
        <v>210</v>
      </c>
      <c r="K102" s="58"/>
      <c r="O102" t="s">
        <v>36</v>
      </c>
    </row>
    <row r="103" spans="1:15" ht="39" customHeight="1" thickBot="1">
      <c r="A103" s="302" t="s">
        <v>48</v>
      </c>
      <c r="B103" s="303"/>
      <c r="C103" s="303"/>
      <c r="D103" s="303"/>
      <c r="E103" s="303"/>
      <c r="F103" s="73" t="s">
        <v>29</v>
      </c>
      <c r="G103" s="73">
        <f>G102*5%</f>
        <v>500</v>
      </c>
      <c r="H103" s="299"/>
      <c r="I103" s="286"/>
      <c r="J103" s="108" t="s">
        <v>211</v>
      </c>
      <c r="K103" s="58"/>
    </row>
    <row r="104" spans="1:15" ht="35.25" customHeight="1">
      <c r="A104" s="392">
        <v>0</v>
      </c>
      <c r="B104" s="393"/>
      <c r="C104" s="393"/>
      <c r="D104" s="393"/>
      <c r="E104" s="393"/>
      <c r="F104" s="88" t="s">
        <v>32</v>
      </c>
      <c r="G104" s="104">
        <v>0</v>
      </c>
      <c r="H104" s="290">
        <v>0.5</v>
      </c>
      <c r="I104" s="347"/>
      <c r="J104" s="108" t="s">
        <v>212</v>
      </c>
      <c r="K104" s="58"/>
    </row>
    <row r="105" spans="1:15" ht="29.25" customHeight="1" thickBot="1">
      <c r="A105" s="302">
        <v>0</v>
      </c>
      <c r="B105" s="303"/>
      <c r="C105" s="303"/>
      <c r="D105" s="303"/>
      <c r="E105" s="303"/>
      <c r="F105" s="73" t="s">
        <v>29</v>
      </c>
      <c r="G105" s="73">
        <v>0</v>
      </c>
      <c r="H105" s="305"/>
      <c r="I105" s="348"/>
      <c r="J105" s="108" t="s">
        <v>212</v>
      </c>
      <c r="K105" s="58"/>
    </row>
    <row r="106" spans="1:15" ht="51">
      <c r="A106" s="308">
        <v>30000</v>
      </c>
      <c r="B106" s="309"/>
      <c r="C106" s="309"/>
      <c r="D106" s="309"/>
      <c r="E106" s="309"/>
      <c r="F106" s="85" t="s">
        <v>33</v>
      </c>
      <c r="G106" s="89">
        <f>A106</f>
        <v>30000</v>
      </c>
      <c r="H106" s="352">
        <v>0.5</v>
      </c>
      <c r="I106" s="346"/>
      <c r="J106" s="105" t="s">
        <v>214</v>
      </c>
      <c r="K106" s="58"/>
    </row>
    <row r="107" spans="1:15" ht="35.450000000000003" customHeight="1" thickBot="1">
      <c r="A107" s="349" t="s">
        <v>49</v>
      </c>
      <c r="B107" s="350"/>
      <c r="C107" s="350"/>
      <c r="D107" s="350"/>
      <c r="E107" s="350"/>
      <c r="F107" s="86" t="s">
        <v>29</v>
      </c>
      <c r="G107" s="90">
        <f>G106*5%</f>
        <v>1500</v>
      </c>
      <c r="H107" s="289"/>
      <c r="I107" s="347"/>
      <c r="J107" s="105" t="s">
        <v>213</v>
      </c>
      <c r="K107" s="58"/>
    </row>
    <row r="108" spans="1:15" ht="30" customHeight="1">
      <c r="A108" s="308">
        <v>20000</v>
      </c>
      <c r="B108" s="309"/>
      <c r="C108" s="309"/>
      <c r="D108" s="309"/>
      <c r="E108" s="309"/>
      <c r="F108" s="85" t="s">
        <v>112</v>
      </c>
      <c r="G108" s="89">
        <v>20000</v>
      </c>
      <c r="H108" s="333">
        <v>0.5</v>
      </c>
      <c r="I108" s="346"/>
      <c r="J108" s="105" t="s">
        <v>216</v>
      </c>
      <c r="K108" s="58"/>
    </row>
    <row r="109" spans="1:15" ht="35.450000000000003" customHeight="1" thickBot="1">
      <c r="A109" s="302" t="s">
        <v>113</v>
      </c>
      <c r="B109" s="303"/>
      <c r="C109" s="303"/>
      <c r="D109" s="303"/>
      <c r="E109" s="303"/>
      <c r="F109" s="73" t="s">
        <v>29</v>
      </c>
      <c r="G109" s="73">
        <f>G108*5%</f>
        <v>1000</v>
      </c>
      <c r="H109" s="299"/>
      <c r="I109" s="348"/>
      <c r="J109" s="105" t="s">
        <v>215</v>
      </c>
      <c r="K109" s="58"/>
    </row>
    <row r="110" spans="1:15" ht="16.5" customHeight="1">
      <c r="A110" s="58"/>
      <c r="B110" s="58"/>
      <c r="C110" s="58"/>
      <c r="D110" s="58"/>
      <c r="E110" s="58"/>
      <c r="F110" s="58"/>
      <c r="G110" s="59"/>
      <c r="H110" s="105"/>
      <c r="I110" s="58"/>
      <c r="J110" s="108"/>
      <c r="K110" s="58"/>
    </row>
    <row r="111" spans="1:15" ht="22.5" customHeight="1" thickBot="1">
      <c r="A111" s="359" t="s">
        <v>129</v>
      </c>
      <c r="B111" s="359"/>
      <c r="C111" s="359"/>
      <c r="D111" s="359"/>
      <c r="E111" s="359"/>
      <c r="F111" s="359"/>
      <c r="G111" s="359"/>
      <c r="H111" s="359"/>
      <c r="I111" s="359"/>
      <c r="J111" s="108" t="s">
        <v>309</v>
      </c>
      <c r="K111" s="58"/>
    </row>
    <row r="112" spans="1:15" ht="26.25" thickBot="1">
      <c r="A112" s="350" t="s">
        <v>25</v>
      </c>
      <c r="B112" s="350"/>
      <c r="C112" s="350"/>
      <c r="D112" s="350"/>
      <c r="E112" s="350"/>
      <c r="F112" s="92" t="s">
        <v>26</v>
      </c>
      <c r="G112" s="91" t="s">
        <v>27</v>
      </c>
      <c r="H112" s="91" t="s">
        <v>28</v>
      </c>
      <c r="I112" s="93" t="s">
        <v>9</v>
      </c>
      <c r="J112" s="108"/>
      <c r="K112" s="58"/>
    </row>
    <row r="113" spans="1:11" ht="27" customHeight="1">
      <c r="A113" s="330" t="s">
        <v>122</v>
      </c>
      <c r="B113" s="331"/>
      <c r="C113" s="331"/>
      <c r="D113" s="331"/>
      <c r="E113" s="332"/>
      <c r="F113" s="85" t="s">
        <v>19</v>
      </c>
      <c r="G113" s="89">
        <v>3500</v>
      </c>
      <c r="H113" s="333">
        <v>0.5</v>
      </c>
      <c r="I113" s="360"/>
      <c r="J113" s="108" t="s">
        <v>221</v>
      </c>
      <c r="K113" s="58"/>
    </row>
    <row r="114" spans="1:11" ht="39" thickBot="1">
      <c r="A114" s="362" t="s">
        <v>124</v>
      </c>
      <c r="B114" s="363"/>
      <c r="C114" s="363"/>
      <c r="D114" s="363"/>
      <c r="E114" s="364"/>
      <c r="F114" s="73" t="s">
        <v>123</v>
      </c>
      <c r="G114" s="73">
        <v>0</v>
      </c>
      <c r="H114" s="299"/>
      <c r="I114" s="361"/>
      <c r="J114" s="108" t="s">
        <v>217</v>
      </c>
      <c r="K114" s="58"/>
    </row>
    <row r="115" spans="1:11" ht="24.75" customHeight="1">
      <c r="A115" s="330" t="s">
        <v>126</v>
      </c>
      <c r="B115" s="331"/>
      <c r="C115" s="331"/>
      <c r="D115" s="331"/>
      <c r="E115" s="332"/>
      <c r="F115" s="85" t="s">
        <v>19</v>
      </c>
      <c r="G115" s="89">
        <v>1000</v>
      </c>
      <c r="H115" s="333">
        <v>0.5</v>
      </c>
      <c r="I115" s="334"/>
      <c r="J115" s="108" t="s">
        <v>221</v>
      </c>
      <c r="K115" s="58"/>
    </row>
    <row r="116" spans="1:11" ht="39" thickBot="1">
      <c r="A116" s="302" t="s">
        <v>125</v>
      </c>
      <c r="B116" s="303"/>
      <c r="C116" s="303"/>
      <c r="D116" s="303"/>
      <c r="E116" s="303"/>
      <c r="F116" s="73" t="s">
        <v>123</v>
      </c>
      <c r="G116" s="73">
        <v>0</v>
      </c>
      <c r="H116" s="299"/>
      <c r="I116" s="286"/>
      <c r="J116" s="108" t="s">
        <v>217</v>
      </c>
      <c r="K116" s="58"/>
    </row>
    <row r="117" spans="1:11" ht="27" customHeight="1">
      <c r="A117" s="330" t="s">
        <v>121</v>
      </c>
      <c r="B117" s="331"/>
      <c r="C117" s="331"/>
      <c r="D117" s="331"/>
      <c r="E117" s="332"/>
      <c r="F117" s="71" t="s">
        <v>19</v>
      </c>
      <c r="G117" s="89">
        <v>15000</v>
      </c>
      <c r="H117" s="352">
        <v>0.5</v>
      </c>
      <c r="I117" s="346"/>
      <c r="J117" s="108" t="s">
        <v>221</v>
      </c>
      <c r="K117" s="58"/>
    </row>
    <row r="118" spans="1:11" ht="27.75" customHeight="1" thickBot="1">
      <c r="A118" s="302" t="s">
        <v>119</v>
      </c>
      <c r="B118" s="303"/>
      <c r="C118" s="303"/>
      <c r="D118" s="303"/>
      <c r="E118" s="303"/>
      <c r="F118" s="73" t="s">
        <v>29</v>
      </c>
      <c r="G118" s="73">
        <f>G117*0</f>
        <v>0</v>
      </c>
      <c r="H118" s="305"/>
      <c r="I118" s="348"/>
      <c r="J118" s="108" t="s">
        <v>217</v>
      </c>
      <c r="K118" s="58"/>
    </row>
    <row r="119" spans="1:11" ht="27.75" customHeight="1">
      <c r="A119" s="330" t="s">
        <v>117</v>
      </c>
      <c r="B119" s="331"/>
      <c r="C119" s="331"/>
      <c r="D119" s="331"/>
      <c r="E119" s="332"/>
      <c r="F119" s="71" t="s">
        <v>19</v>
      </c>
      <c r="G119" s="89">
        <v>2000</v>
      </c>
      <c r="H119" s="352">
        <v>0.5</v>
      </c>
      <c r="I119" s="346"/>
      <c r="J119" s="105" t="s">
        <v>313</v>
      </c>
      <c r="K119" s="58"/>
    </row>
    <row r="120" spans="1:11" ht="26.25" customHeight="1" thickBot="1">
      <c r="A120" s="302" t="s">
        <v>115</v>
      </c>
      <c r="B120" s="303"/>
      <c r="C120" s="303"/>
      <c r="D120" s="303"/>
      <c r="E120" s="303"/>
      <c r="F120" s="73" t="s">
        <v>29</v>
      </c>
      <c r="G120" s="73">
        <f>G119*15%</f>
        <v>300</v>
      </c>
      <c r="H120" s="305"/>
      <c r="I120" s="348"/>
      <c r="J120" s="108" t="s">
        <v>311</v>
      </c>
      <c r="K120" s="58"/>
    </row>
    <row r="121" spans="1:11" ht="24.75" customHeight="1">
      <c r="A121" s="330" t="s">
        <v>116</v>
      </c>
      <c r="B121" s="331"/>
      <c r="C121" s="331"/>
      <c r="D121" s="331"/>
      <c r="E121" s="332"/>
      <c r="F121" s="71" t="s">
        <v>19</v>
      </c>
      <c r="G121" s="89">
        <v>25000</v>
      </c>
      <c r="H121" s="352">
        <v>0.5</v>
      </c>
      <c r="I121" s="346"/>
      <c r="J121" s="108" t="s">
        <v>218</v>
      </c>
      <c r="K121" s="58"/>
    </row>
    <row r="122" spans="1:11" ht="43.5" customHeight="1" thickBot="1">
      <c r="A122" s="302" t="s">
        <v>312</v>
      </c>
      <c r="B122" s="303"/>
      <c r="C122" s="303"/>
      <c r="D122" s="303"/>
      <c r="E122" s="303"/>
      <c r="F122" s="73" t="s">
        <v>29</v>
      </c>
      <c r="G122" s="90">
        <v>0</v>
      </c>
      <c r="H122" s="289"/>
      <c r="I122" s="347"/>
      <c r="J122" s="105" t="s">
        <v>219</v>
      </c>
      <c r="K122" s="58"/>
    </row>
    <row r="123" spans="1:11" ht="28.5" customHeight="1">
      <c r="A123" s="330" t="s">
        <v>118</v>
      </c>
      <c r="B123" s="331"/>
      <c r="C123" s="331"/>
      <c r="D123" s="331"/>
      <c r="E123" s="332"/>
      <c r="F123" s="71" t="s">
        <v>19</v>
      </c>
      <c r="G123" s="99">
        <v>12000</v>
      </c>
      <c r="H123" s="289">
        <v>0.5</v>
      </c>
      <c r="I123" s="354"/>
      <c r="J123" s="108" t="s">
        <v>218</v>
      </c>
      <c r="K123" s="58"/>
    </row>
    <row r="124" spans="1:11" ht="39" thickBot="1">
      <c r="A124" s="394" t="s">
        <v>120</v>
      </c>
      <c r="B124" s="395"/>
      <c r="C124" s="395"/>
      <c r="D124" s="395"/>
      <c r="E124" s="396"/>
      <c r="F124" s="86" t="s">
        <v>123</v>
      </c>
      <c r="G124" s="90">
        <f>G123*5%</f>
        <v>600</v>
      </c>
      <c r="H124" s="298"/>
      <c r="I124" s="405"/>
      <c r="J124" s="108" t="s">
        <v>218</v>
      </c>
      <c r="K124" s="58"/>
    </row>
    <row r="125" spans="1:11" ht="22.5" customHeight="1">
      <c r="A125" s="406" t="s">
        <v>127</v>
      </c>
      <c r="B125" s="407"/>
      <c r="C125" s="407"/>
      <c r="D125" s="407"/>
      <c r="E125" s="407"/>
      <c r="F125" s="85" t="s">
        <v>19</v>
      </c>
      <c r="G125" s="89">
        <f>10000*12%/12*6</f>
        <v>600</v>
      </c>
      <c r="H125" s="333">
        <v>0.5</v>
      </c>
      <c r="I125" s="346"/>
      <c r="J125" s="108" t="s">
        <v>218</v>
      </c>
      <c r="K125" s="58"/>
    </row>
    <row r="126" spans="1:11" ht="34.5" customHeight="1" thickBot="1">
      <c r="A126" s="408" t="s">
        <v>128</v>
      </c>
      <c r="B126" s="409"/>
      <c r="C126" s="409"/>
      <c r="D126" s="409"/>
      <c r="E126" s="409"/>
      <c r="F126" s="73" t="s">
        <v>29</v>
      </c>
      <c r="G126" s="73">
        <f>G125*5%</f>
        <v>30</v>
      </c>
      <c r="H126" s="299"/>
      <c r="I126" s="348"/>
      <c r="J126" s="108" t="s">
        <v>218</v>
      </c>
      <c r="K126" s="58"/>
    </row>
    <row r="127" spans="1:11" ht="16.5" customHeight="1">
      <c r="A127" s="94"/>
      <c r="B127" s="94"/>
      <c r="C127" s="94"/>
      <c r="D127" s="94"/>
      <c r="E127" s="94"/>
      <c r="F127" s="61"/>
      <c r="G127" s="61"/>
      <c r="H127" s="61"/>
      <c r="I127" s="94"/>
      <c r="J127" s="108"/>
      <c r="K127" s="58"/>
    </row>
    <row r="128" spans="1:11" ht="22.5" customHeight="1" thickBot="1">
      <c r="A128" s="359" t="s">
        <v>137</v>
      </c>
      <c r="B128" s="359"/>
      <c r="C128" s="359"/>
      <c r="D128" s="359"/>
      <c r="E128" s="359"/>
      <c r="F128" s="359"/>
      <c r="G128" s="359"/>
      <c r="H128" s="359"/>
      <c r="I128" s="359"/>
      <c r="J128" s="108"/>
      <c r="K128" s="58"/>
    </row>
    <row r="129" spans="1:18" ht="26.25" thickBot="1">
      <c r="A129" s="350" t="s">
        <v>25</v>
      </c>
      <c r="B129" s="350"/>
      <c r="C129" s="350"/>
      <c r="D129" s="350"/>
      <c r="E129" s="350"/>
      <c r="F129" s="92" t="s">
        <v>26</v>
      </c>
      <c r="G129" s="91" t="s">
        <v>27</v>
      </c>
      <c r="H129" s="91" t="s">
        <v>28</v>
      </c>
      <c r="I129" s="93" t="s">
        <v>9</v>
      </c>
      <c r="J129" s="108"/>
      <c r="K129" s="58"/>
    </row>
    <row r="130" spans="1:18" ht="30" customHeight="1">
      <c r="A130" s="330" t="s">
        <v>130</v>
      </c>
      <c r="B130" s="331"/>
      <c r="C130" s="331"/>
      <c r="D130" s="331"/>
      <c r="E130" s="332"/>
      <c r="F130" s="85" t="s">
        <v>19</v>
      </c>
      <c r="G130" s="89">
        <v>5500</v>
      </c>
      <c r="H130" s="333">
        <v>0.5</v>
      </c>
      <c r="I130" s="360"/>
      <c r="J130" s="215" t="s">
        <v>325</v>
      </c>
      <c r="K130" s="58"/>
    </row>
    <row r="131" spans="1:18" ht="40.5" customHeight="1" thickBot="1">
      <c r="A131" s="362" t="s">
        <v>131</v>
      </c>
      <c r="B131" s="363"/>
      <c r="C131" s="363"/>
      <c r="D131" s="363"/>
      <c r="E131" s="364"/>
      <c r="F131" s="73" t="s">
        <v>123</v>
      </c>
      <c r="G131" s="73">
        <v>0</v>
      </c>
      <c r="H131" s="299"/>
      <c r="I131" s="361"/>
      <c r="J131" s="108"/>
      <c r="K131" s="58"/>
    </row>
    <row r="132" spans="1:18" ht="25.5" customHeight="1">
      <c r="A132" s="330" t="s">
        <v>132</v>
      </c>
      <c r="B132" s="331"/>
      <c r="C132" s="331"/>
      <c r="D132" s="331"/>
      <c r="E132" s="332"/>
      <c r="F132" s="85" t="s">
        <v>19</v>
      </c>
      <c r="G132" s="89">
        <v>1000</v>
      </c>
      <c r="H132" s="333">
        <v>0.5</v>
      </c>
      <c r="I132" s="334"/>
      <c r="J132" s="108" t="s">
        <v>222</v>
      </c>
      <c r="K132" s="58"/>
    </row>
    <row r="133" spans="1:18" ht="36" customHeight="1" thickBot="1">
      <c r="A133" s="302" t="s">
        <v>133</v>
      </c>
      <c r="B133" s="303"/>
      <c r="C133" s="303"/>
      <c r="D133" s="303"/>
      <c r="E133" s="303"/>
      <c r="F133" s="73" t="s">
        <v>134</v>
      </c>
      <c r="G133" s="73">
        <f>G132*20%</f>
        <v>200</v>
      </c>
      <c r="H133" s="299"/>
      <c r="I133" s="286"/>
      <c r="J133" s="108" t="s">
        <v>223</v>
      </c>
      <c r="K133" s="58"/>
      <c r="R133" t="s">
        <v>36</v>
      </c>
    </row>
    <row r="134" spans="1:18" ht="43.5" customHeight="1">
      <c r="A134" s="330" t="s">
        <v>121</v>
      </c>
      <c r="B134" s="331"/>
      <c r="C134" s="331"/>
      <c r="D134" s="331"/>
      <c r="E134" s="332"/>
      <c r="F134" s="71" t="s">
        <v>19</v>
      </c>
      <c r="G134" s="89">
        <v>5000</v>
      </c>
      <c r="H134" s="352">
        <v>0.5</v>
      </c>
      <c r="I134" s="346"/>
      <c r="J134" s="215" t="s">
        <v>325</v>
      </c>
      <c r="K134" s="58"/>
    </row>
    <row r="135" spans="1:18" ht="44.25" customHeight="1" thickBot="1">
      <c r="A135" s="302" t="s">
        <v>135</v>
      </c>
      <c r="B135" s="303"/>
      <c r="C135" s="303"/>
      <c r="D135" s="303"/>
      <c r="E135" s="303"/>
      <c r="F135" s="73" t="s">
        <v>123</v>
      </c>
      <c r="G135" s="73">
        <f>G134*0</f>
        <v>0</v>
      </c>
      <c r="H135" s="305"/>
      <c r="I135" s="348"/>
      <c r="J135" s="108"/>
      <c r="K135" s="58"/>
    </row>
    <row r="136" spans="1:18" ht="46.5" customHeight="1">
      <c r="A136" s="330" t="s">
        <v>176</v>
      </c>
      <c r="B136" s="331"/>
      <c r="C136" s="331"/>
      <c r="D136" s="331"/>
      <c r="E136" s="332"/>
      <c r="F136" s="71" t="s">
        <v>19</v>
      </c>
      <c r="G136" s="89">
        <v>4000</v>
      </c>
      <c r="H136" s="352">
        <v>0.5</v>
      </c>
      <c r="I136" s="346"/>
      <c r="J136" s="108" t="s">
        <v>228</v>
      </c>
      <c r="K136" s="95"/>
    </row>
    <row r="137" spans="1:18" ht="30.75" customHeight="1" thickBot="1">
      <c r="A137" s="302" t="s">
        <v>314</v>
      </c>
      <c r="B137" s="303"/>
      <c r="C137" s="303"/>
      <c r="D137" s="303"/>
      <c r="E137" s="303"/>
      <c r="F137" s="73" t="s">
        <v>29</v>
      </c>
      <c r="G137" s="73">
        <f>G136*15%</f>
        <v>600</v>
      </c>
      <c r="H137" s="305"/>
      <c r="I137" s="348"/>
      <c r="J137" s="108" t="s">
        <v>315</v>
      </c>
      <c r="K137" s="58"/>
    </row>
    <row r="138" spans="1:18" ht="54" customHeight="1">
      <c r="A138" s="330" t="s">
        <v>136</v>
      </c>
      <c r="B138" s="331"/>
      <c r="C138" s="331"/>
      <c r="D138" s="331"/>
      <c r="E138" s="332"/>
      <c r="F138" s="71" t="s">
        <v>19</v>
      </c>
      <c r="G138" s="89">
        <v>20000</v>
      </c>
      <c r="H138" s="352">
        <v>0.5</v>
      </c>
      <c r="I138" s="346"/>
      <c r="J138" s="105" t="s">
        <v>232</v>
      </c>
      <c r="K138" s="58"/>
    </row>
    <row r="139" spans="1:18" ht="26.25" customHeight="1" thickBot="1">
      <c r="A139" s="349" t="s">
        <v>227</v>
      </c>
      <c r="B139" s="350"/>
      <c r="C139" s="350"/>
      <c r="D139" s="350"/>
      <c r="E139" s="350"/>
      <c r="F139" s="86" t="s">
        <v>29</v>
      </c>
      <c r="G139" s="90">
        <v>0</v>
      </c>
      <c r="H139" s="289"/>
      <c r="I139" s="347"/>
      <c r="J139" s="108" t="s">
        <v>231</v>
      </c>
      <c r="K139" s="58"/>
    </row>
    <row r="140" spans="1:18" ht="26.25" customHeight="1">
      <c r="A140" s="330" t="s">
        <v>118</v>
      </c>
      <c r="B140" s="331"/>
      <c r="C140" s="331"/>
      <c r="D140" s="331"/>
      <c r="E140" s="332"/>
      <c r="F140" s="85" t="s">
        <v>19</v>
      </c>
      <c r="G140" s="89">
        <v>10000</v>
      </c>
      <c r="H140" s="333">
        <v>0.5</v>
      </c>
      <c r="I140" s="353"/>
      <c r="J140" s="108" t="s">
        <v>230</v>
      </c>
      <c r="K140" s="58"/>
    </row>
    <row r="141" spans="1:18" ht="24.75" customHeight="1" thickBot="1">
      <c r="A141" s="356" t="s">
        <v>48</v>
      </c>
      <c r="B141" s="357"/>
      <c r="C141" s="357"/>
      <c r="D141" s="357"/>
      <c r="E141" s="358"/>
      <c r="F141" s="73" t="s">
        <v>123</v>
      </c>
      <c r="G141" s="73">
        <f>G140*5%</f>
        <v>500</v>
      </c>
      <c r="H141" s="299"/>
      <c r="I141" s="355"/>
      <c r="J141" s="108" t="s">
        <v>229</v>
      </c>
      <c r="K141" s="58"/>
    </row>
    <row r="142" spans="1:18" ht="15.75" customHeight="1">
      <c r="A142" s="94"/>
      <c r="B142" s="94"/>
      <c r="C142" s="94"/>
      <c r="D142" s="94"/>
      <c r="E142" s="94"/>
      <c r="F142" s="61"/>
      <c r="G142" s="61"/>
      <c r="H142" s="61"/>
      <c r="I142" s="94"/>
      <c r="J142" s="108"/>
      <c r="K142" s="58"/>
    </row>
    <row r="143" spans="1:18" ht="15.75" thickBot="1">
      <c r="A143" s="307" t="s">
        <v>138</v>
      </c>
      <c r="B143" s="307"/>
      <c r="C143" s="307"/>
      <c r="D143" s="307"/>
      <c r="E143" s="307"/>
      <c r="F143" s="307"/>
      <c r="G143" s="307"/>
      <c r="H143" s="307"/>
      <c r="I143" s="307"/>
      <c r="J143" s="108"/>
      <c r="K143" s="58"/>
    </row>
    <row r="144" spans="1:18" ht="25.5">
      <c r="A144" s="292" t="s">
        <v>25</v>
      </c>
      <c r="B144" s="293"/>
      <c r="C144" s="293"/>
      <c r="D144" s="293"/>
      <c r="E144" s="294"/>
      <c r="F144" s="54" t="s">
        <v>26</v>
      </c>
      <c r="G144" s="89" t="s">
        <v>27</v>
      </c>
      <c r="H144" s="89" t="s">
        <v>28</v>
      </c>
      <c r="I144" s="63" t="s">
        <v>9</v>
      </c>
      <c r="J144" s="108"/>
      <c r="K144" s="58"/>
    </row>
    <row r="145" spans="1:11">
      <c r="A145" s="365" t="s">
        <v>139</v>
      </c>
      <c r="B145" s="366"/>
      <c r="C145" s="366"/>
      <c r="D145" s="366"/>
      <c r="E145" s="367"/>
      <c r="F145" s="64" t="s">
        <v>19</v>
      </c>
      <c r="G145" s="99">
        <v>5000</v>
      </c>
      <c r="H145" s="289">
        <v>0.5</v>
      </c>
      <c r="I145" s="284"/>
      <c r="J145" s="108" t="s">
        <v>238</v>
      </c>
      <c r="K145" s="58"/>
    </row>
    <row r="146" spans="1:11" ht="29.45" customHeight="1" thickBot="1">
      <c r="A146" s="302" t="s">
        <v>140</v>
      </c>
      <c r="B146" s="303"/>
      <c r="C146" s="303"/>
      <c r="D146" s="303"/>
      <c r="E146" s="303"/>
      <c r="F146" s="73" t="s">
        <v>29</v>
      </c>
      <c r="G146" s="73">
        <f>G145*10%</f>
        <v>500</v>
      </c>
      <c r="H146" s="299"/>
      <c r="I146" s="286"/>
      <c r="J146" s="108" t="s">
        <v>239</v>
      </c>
      <c r="K146" s="58"/>
    </row>
    <row r="147" spans="1:11">
      <c r="A147" s="58"/>
      <c r="B147" s="58"/>
      <c r="C147" s="58"/>
      <c r="D147" s="58"/>
      <c r="E147" s="58"/>
      <c r="F147" s="58"/>
      <c r="G147" s="59"/>
      <c r="H147" s="105"/>
      <c r="I147" s="58"/>
      <c r="J147" s="108"/>
      <c r="K147" s="58"/>
    </row>
    <row r="148" spans="1:11" ht="15.75" thickBot="1">
      <c r="A148" s="307" t="s">
        <v>145</v>
      </c>
      <c r="B148" s="307"/>
      <c r="C148" s="307"/>
      <c r="D148" s="307"/>
      <c r="E148" s="307"/>
      <c r="F148" s="307"/>
      <c r="G148" s="307"/>
      <c r="H148" s="307"/>
      <c r="I148" s="307"/>
      <c r="J148" s="108"/>
      <c r="K148" s="58"/>
    </row>
    <row r="149" spans="1:11" ht="25.5">
      <c r="A149" s="292" t="s">
        <v>25</v>
      </c>
      <c r="B149" s="293"/>
      <c r="C149" s="293"/>
      <c r="D149" s="293"/>
      <c r="E149" s="294"/>
      <c r="F149" s="54" t="s">
        <v>26</v>
      </c>
      <c r="G149" s="89" t="s">
        <v>27</v>
      </c>
      <c r="H149" s="89" t="s">
        <v>28</v>
      </c>
      <c r="I149" s="63" t="s">
        <v>9</v>
      </c>
      <c r="J149" s="108"/>
      <c r="K149" s="58"/>
    </row>
    <row r="150" spans="1:11">
      <c r="A150" s="365" t="s">
        <v>318</v>
      </c>
      <c r="B150" s="366"/>
      <c r="C150" s="366"/>
      <c r="D150" s="366"/>
      <c r="E150" s="367"/>
      <c r="F150" s="74" t="s">
        <v>19</v>
      </c>
      <c r="G150" s="127">
        <f>15000/0.9</f>
        <v>16666.666666666668</v>
      </c>
      <c r="H150" s="289">
        <v>0.5</v>
      </c>
      <c r="I150" s="284"/>
      <c r="J150" s="108" t="s">
        <v>238</v>
      </c>
      <c r="K150" s="58"/>
    </row>
    <row r="151" spans="1:11" ht="26.25" thickBot="1">
      <c r="A151" s="302" t="s">
        <v>317</v>
      </c>
      <c r="B151" s="303"/>
      <c r="C151" s="303"/>
      <c r="D151" s="303"/>
      <c r="E151" s="303"/>
      <c r="F151" s="73" t="s">
        <v>29</v>
      </c>
      <c r="G151" s="213">
        <f>G150*10%</f>
        <v>1666.666666666667</v>
      </c>
      <c r="H151" s="299"/>
      <c r="I151" s="286"/>
      <c r="J151" s="108" t="s">
        <v>239</v>
      </c>
      <c r="K151" s="58"/>
    </row>
    <row r="152" spans="1:11">
      <c r="A152" s="58"/>
      <c r="B152" s="58"/>
      <c r="C152" s="58"/>
      <c r="D152" s="58"/>
      <c r="E152" s="58"/>
      <c r="F152" s="58"/>
      <c r="G152" s="59"/>
      <c r="H152" s="105"/>
      <c r="I152" s="58"/>
      <c r="J152" s="108"/>
      <c r="K152" s="58"/>
    </row>
    <row r="153" spans="1:11" ht="33" customHeight="1" thickBot="1">
      <c r="A153" s="370" t="s">
        <v>146</v>
      </c>
      <c r="B153" s="370"/>
      <c r="C153" s="370"/>
      <c r="D153" s="370"/>
      <c r="E153" s="370"/>
      <c r="F153" s="370"/>
      <c r="G153" s="370"/>
      <c r="H153" s="370"/>
      <c r="I153" s="370"/>
      <c r="J153" s="108"/>
      <c r="K153" s="58"/>
    </row>
    <row r="154" spans="1:11" ht="25.5">
      <c r="A154" s="308" t="s">
        <v>25</v>
      </c>
      <c r="B154" s="309"/>
      <c r="C154" s="309"/>
      <c r="D154" s="309"/>
      <c r="E154" s="309"/>
      <c r="F154" s="54" t="s">
        <v>26</v>
      </c>
      <c r="G154" s="89" t="s">
        <v>27</v>
      </c>
      <c r="H154" s="89" t="s">
        <v>28</v>
      </c>
      <c r="I154" s="63" t="s">
        <v>9</v>
      </c>
      <c r="J154" s="108"/>
      <c r="K154" s="58"/>
    </row>
    <row r="155" spans="1:11" ht="21" customHeight="1">
      <c r="A155" s="365" t="s">
        <v>142</v>
      </c>
      <c r="B155" s="366"/>
      <c r="C155" s="366"/>
      <c r="D155" s="366"/>
      <c r="E155" s="367"/>
      <c r="F155" s="64" t="s">
        <v>19</v>
      </c>
      <c r="G155" s="127">
        <v>8500</v>
      </c>
      <c r="H155" s="304">
        <v>0.5</v>
      </c>
      <c r="I155" s="368"/>
      <c r="J155" s="105" t="s">
        <v>277</v>
      </c>
      <c r="K155" s="58"/>
    </row>
    <row r="156" spans="1:11" ht="26.45" customHeight="1" thickBot="1">
      <c r="A156" s="362" t="s">
        <v>144</v>
      </c>
      <c r="B156" s="363"/>
      <c r="C156" s="363"/>
      <c r="D156" s="363"/>
      <c r="E156" s="364"/>
      <c r="F156" s="96" t="s">
        <v>29</v>
      </c>
      <c r="G156" s="97">
        <f>G155*4%</f>
        <v>340</v>
      </c>
      <c r="H156" s="305"/>
      <c r="I156" s="369"/>
      <c r="J156" s="105" t="s">
        <v>278</v>
      </c>
      <c r="K156" s="98"/>
    </row>
    <row r="157" spans="1:11">
      <c r="A157" s="58"/>
      <c r="B157" s="58"/>
      <c r="C157" s="58"/>
      <c r="D157" s="58"/>
      <c r="E157" s="58"/>
      <c r="F157" s="58"/>
      <c r="G157" s="59"/>
      <c r="H157" s="105"/>
      <c r="I157" s="58"/>
      <c r="J157" s="108"/>
      <c r="K157" s="58"/>
    </row>
    <row r="158" spans="1:11" ht="15.75" thickBot="1">
      <c r="A158" s="359" t="s">
        <v>147</v>
      </c>
      <c r="B158" s="359"/>
      <c r="C158" s="359"/>
      <c r="D158" s="359"/>
      <c r="E158" s="359"/>
      <c r="F158" s="359"/>
      <c r="G158" s="359"/>
      <c r="H158" s="359"/>
      <c r="I158" s="359"/>
      <c r="J158" s="108"/>
      <c r="K158" s="98"/>
    </row>
    <row r="159" spans="1:11" ht="26.25" thickBot="1">
      <c r="A159" s="350" t="s">
        <v>25</v>
      </c>
      <c r="B159" s="350"/>
      <c r="C159" s="350"/>
      <c r="D159" s="350"/>
      <c r="E159" s="350"/>
      <c r="F159" s="92" t="s">
        <v>26</v>
      </c>
      <c r="G159" s="91" t="s">
        <v>27</v>
      </c>
      <c r="H159" s="91" t="s">
        <v>28</v>
      </c>
      <c r="I159" s="93" t="s">
        <v>9</v>
      </c>
      <c r="J159" s="108"/>
      <c r="K159" s="98"/>
    </row>
    <row r="160" spans="1:11" ht="15" customHeight="1">
      <c r="A160" s="330" t="s">
        <v>148</v>
      </c>
      <c r="B160" s="331"/>
      <c r="C160" s="331"/>
      <c r="D160" s="331"/>
      <c r="E160" s="332"/>
      <c r="F160" s="85" t="s">
        <v>19</v>
      </c>
      <c r="G160" s="89">
        <v>15000</v>
      </c>
      <c r="H160" s="333">
        <v>0.5</v>
      </c>
      <c r="I160" s="360"/>
      <c r="J160" s="108" t="s">
        <v>281</v>
      </c>
      <c r="K160" s="58"/>
    </row>
    <row r="161" spans="1:11" ht="39" thickBot="1">
      <c r="A161" s="362" t="s">
        <v>143</v>
      </c>
      <c r="B161" s="363"/>
      <c r="C161" s="363"/>
      <c r="D161" s="363"/>
      <c r="E161" s="364"/>
      <c r="F161" s="73" t="s">
        <v>123</v>
      </c>
      <c r="G161" s="73">
        <f>G160*5%*0%</f>
        <v>0</v>
      </c>
      <c r="H161" s="299"/>
      <c r="I161" s="361"/>
      <c r="J161" s="105" t="s">
        <v>219</v>
      </c>
      <c r="K161" s="58"/>
    </row>
    <row r="162" spans="1:11">
      <c r="A162" s="58"/>
      <c r="B162" s="58"/>
      <c r="C162" s="58"/>
      <c r="D162" s="58"/>
      <c r="E162" s="58"/>
      <c r="F162" s="58"/>
      <c r="G162" s="59"/>
      <c r="H162" s="105"/>
      <c r="I162" s="58"/>
      <c r="J162" s="108"/>
      <c r="K162" s="58"/>
    </row>
    <row r="163" spans="1:11" ht="15" customHeight="1" thickBot="1">
      <c r="A163" s="307" t="s">
        <v>149</v>
      </c>
      <c r="B163" s="307"/>
      <c r="C163" s="307"/>
      <c r="D163" s="307"/>
      <c r="E163" s="307"/>
      <c r="F163" s="307"/>
      <c r="G163" s="307"/>
      <c r="H163" s="307"/>
      <c r="I163" s="307"/>
      <c r="J163" s="108"/>
      <c r="K163" s="58"/>
    </row>
    <row r="164" spans="1:11" ht="25.5">
      <c r="A164" s="308" t="s">
        <v>25</v>
      </c>
      <c r="B164" s="309"/>
      <c r="C164" s="309"/>
      <c r="D164" s="309"/>
      <c r="E164" s="309"/>
      <c r="F164" s="54" t="s">
        <v>26</v>
      </c>
      <c r="G164" s="89" t="s">
        <v>27</v>
      </c>
      <c r="H164" s="89" t="s">
        <v>28</v>
      </c>
      <c r="I164" s="63" t="s">
        <v>9</v>
      </c>
      <c r="J164" s="108"/>
      <c r="K164" s="58"/>
    </row>
    <row r="165" spans="1:11" ht="34.5" customHeight="1">
      <c r="A165" s="306" t="s">
        <v>177</v>
      </c>
      <c r="B165" s="296"/>
      <c r="C165" s="296"/>
      <c r="D165" s="296"/>
      <c r="E165" s="297"/>
      <c r="F165" s="64" t="s">
        <v>19</v>
      </c>
      <c r="G165" s="99">
        <v>0</v>
      </c>
      <c r="H165" s="289">
        <v>0.5</v>
      </c>
      <c r="I165" s="284"/>
      <c r="J165" s="105" t="s">
        <v>282</v>
      </c>
      <c r="K165" s="58"/>
    </row>
    <row r="166" spans="1:11">
      <c r="A166" s="300" t="s">
        <v>141</v>
      </c>
      <c r="B166" s="301"/>
      <c r="C166" s="301"/>
      <c r="D166" s="301"/>
      <c r="E166" s="301"/>
      <c r="F166" s="304" t="s">
        <v>29</v>
      </c>
      <c r="G166" s="304">
        <v>0</v>
      </c>
      <c r="H166" s="298"/>
      <c r="I166" s="285"/>
      <c r="J166" s="108"/>
      <c r="K166" s="58"/>
    </row>
    <row r="167" spans="1:11" ht="15.75" thickBot="1">
      <c r="A167" s="302"/>
      <c r="B167" s="303"/>
      <c r="C167" s="303"/>
      <c r="D167" s="303"/>
      <c r="E167" s="303"/>
      <c r="F167" s="305"/>
      <c r="G167" s="305"/>
      <c r="H167" s="299"/>
      <c r="I167" s="286"/>
      <c r="J167" s="108"/>
      <c r="K167" s="58"/>
    </row>
    <row r="168" spans="1:11">
      <c r="A168" s="58"/>
      <c r="B168" s="58"/>
      <c r="C168" s="58"/>
      <c r="D168" s="58"/>
      <c r="E168" s="58"/>
      <c r="F168" s="58"/>
      <c r="G168" s="59"/>
      <c r="H168" s="105"/>
      <c r="I168" s="58"/>
      <c r="J168" s="108"/>
      <c r="K168" s="58"/>
    </row>
    <row r="169" spans="1:11" ht="15.75" thickBot="1">
      <c r="A169" s="307" t="s">
        <v>150</v>
      </c>
      <c r="B169" s="307"/>
      <c r="C169" s="307"/>
      <c r="D169" s="307"/>
      <c r="E169" s="307"/>
      <c r="F169" s="307"/>
      <c r="G169" s="307"/>
      <c r="H169" s="307"/>
      <c r="I169" s="307"/>
      <c r="J169" s="108"/>
      <c r="K169" s="58"/>
    </row>
    <row r="170" spans="1:11" ht="25.5">
      <c r="A170" s="308" t="s">
        <v>25</v>
      </c>
      <c r="B170" s="309"/>
      <c r="C170" s="309"/>
      <c r="D170" s="309"/>
      <c r="E170" s="309"/>
      <c r="F170" s="54" t="s">
        <v>26</v>
      </c>
      <c r="G170" s="89" t="s">
        <v>27</v>
      </c>
      <c r="H170" s="89" t="s">
        <v>28</v>
      </c>
      <c r="I170" s="63" t="s">
        <v>9</v>
      </c>
      <c r="J170" s="108"/>
      <c r="K170" s="58"/>
    </row>
    <row r="171" spans="1:11" ht="25.5">
      <c r="A171" s="306" t="s">
        <v>319</v>
      </c>
      <c r="B171" s="296"/>
      <c r="C171" s="296"/>
      <c r="D171" s="296"/>
      <c r="E171" s="297"/>
      <c r="F171" s="64" t="s">
        <v>19</v>
      </c>
      <c r="G171" s="212">
        <f>10000/0.9</f>
        <v>11111.111111111111</v>
      </c>
      <c r="H171" s="289">
        <v>0.5</v>
      </c>
      <c r="I171" s="284"/>
      <c r="J171" s="105" t="s">
        <v>285</v>
      </c>
      <c r="K171" s="58"/>
    </row>
    <row r="172" spans="1:11" ht="25.5">
      <c r="A172" s="300" t="s">
        <v>320</v>
      </c>
      <c r="B172" s="301"/>
      <c r="C172" s="301"/>
      <c r="D172" s="301"/>
      <c r="E172" s="301"/>
      <c r="F172" s="304" t="s">
        <v>29</v>
      </c>
      <c r="G172" s="335">
        <f>G171*10%</f>
        <v>1111.1111111111111</v>
      </c>
      <c r="H172" s="298"/>
      <c r="I172" s="285"/>
      <c r="J172" s="105" t="s">
        <v>284</v>
      </c>
      <c r="K172" s="58"/>
    </row>
    <row r="173" spans="1:11" ht="15.75" thickBot="1">
      <c r="A173" s="302"/>
      <c r="B173" s="303"/>
      <c r="C173" s="303"/>
      <c r="D173" s="303"/>
      <c r="E173" s="303"/>
      <c r="F173" s="305"/>
      <c r="G173" s="345"/>
      <c r="H173" s="299"/>
      <c r="I173" s="286"/>
      <c r="J173" s="108"/>
      <c r="K173" s="58"/>
    </row>
    <row r="174" spans="1:11">
      <c r="A174" s="58"/>
      <c r="B174" s="58"/>
      <c r="C174" s="58"/>
      <c r="D174" s="58"/>
      <c r="E174" s="58"/>
      <c r="F174" s="58"/>
      <c r="G174" s="59"/>
      <c r="H174" s="105"/>
      <c r="I174" s="58"/>
      <c r="J174" s="108"/>
      <c r="K174" s="58"/>
    </row>
    <row r="175" spans="1:11" s="4" customFormat="1">
      <c r="A175" s="100" t="s">
        <v>157</v>
      </c>
      <c r="B175" s="100"/>
      <c r="C175" s="100"/>
      <c r="D175" s="100"/>
      <c r="E175" s="100"/>
      <c r="F175" s="80"/>
      <c r="G175" s="128"/>
      <c r="H175" s="117"/>
      <c r="I175" s="80"/>
      <c r="J175" s="110"/>
      <c r="K175" s="80"/>
    </row>
    <row r="176" spans="1:11" ht="26.25" thickBot="1">
      <c r="A176" s="350" t="s">
        <v>25</v>
      </c>
      <c r="B176" s="350"/>
      <c r="C176" s="350"/>
      <c r="D176" s="350"/>
      <c r="E176" s="350"/>
      <c r="F176" s="87" t="s">
        <v>26</v>
      </c>
      <c r="G176" s="90" t="s">
        <v>27</v>
      </c>
      <c r="H176" s="90" t="s">
        <v>28</v>
      </c>
      <c r="I176" s="101" t="s">
        <v>9</v>
      </c>
      <c r="J176" s="108"/>
      <c r="K176" s="58"/>
    </row>
    <row r="177" spans="1:11" ht="29.25" customHeight="1">
      <c r="A177" s="330" t="s">
        <v>184</v>
      </c>
      <c r="B177" s="331"/>
      <c r="C177" s="331"/>
      <c r="D177" s="331"/>
      <c r="E177" s="332"/>
      <c r="F177" s="54" t="s">
        <v>19</v>
      </c>
      <c r="G177" s="89">
        <f>950/0.95</f>
        <v>1000</v>
      </c>
      <c r="H177" s="333">
        <v>0.5</v>
      </c>
      <c r="I177" s="334"/>
      <c r="J177" s="108" t="s">
        <v>288</v>
      </c>
      <c r="K177" s="58"/>
    </row>
    <row r="178" spans="1:11">
      <c r="A178" s="300" t="s">
        <v>151</v>
      </c>
      <c r="B178" s="301"/>
      <c r="C178" s="301"/>
      <c r="D178" s="301"/>
      <c r="E178" s="301"/>
      <c r="F178" s="304" t="s">
        <v>29</v>
      </c>
      <c r="G178" s="289">
        <f>G177*5%</f>
        <v>50</v>
      </c>
      <c r="H178" s="298"/>
      <c r="I178" s="285"/>
      <c r="J178" s="108" t="s">
        <v>287</v>
      </c>
      <c r="K178" s="58"/>
    </row>
    <row r="179" spans="1:11" ht="15.75" thickBot="1">
      <c r="A179" s="302"/>
      <c r="B179" s="303"/>
      <c r="C179" s="303"/>
      <c r="D179" s="303"/>
      <c r="E179" s="303"/>
      <c r="F179" s="305"/>
      <c r="G179" s="299"/>
      <c r="H179" s="299"/>
      <c r="I179" s="286"/>
      <c r="J179" s="108"/>
      <c r="K179" s="58"/>
    </row>
    <row r="180" spans="1:11" ht="30" customHeight="1">
      <c r="A180" s="351" t="s">
        <v>185</v>
      </c>
      <c r="B180" s="352"/>
      <c r="C180" s="352"/>
      <c r="D180" s="352"/>
      <c r="E180" s="352"/>
      <c r="F180" s="54" t="s">
        <v>19</v>
      </c>
      <c r="G180" s="129">
        <v>1500</v>
      </c>
      <c r="H180" s="352">
        <v>0.5</v>
      </c>
      <c r="I180" s="353"/>
      <c r="J180" s="108" t="s">
        <v>289</v>
      </c>
      <c r="K180" s="58"/>
    </row>
    <row r="181" spans="1:11">
      <c r="A181" s="336" t="s">
        <v>152</v>
      </c>
      <c r="B181" s="337"/>
      <c r="C181" s="337"/>
      <c r="D181" s="337"/>
      <c r="E181" s="338"/>
      <c r="F181" s="304" t="s">
        <v>29</v>
      </c>
      <c r="G181" s="304">
        <f>G180*20%</f>
        <v>300</v>
      </c>
      <c r="H181" s="304"/>
      <c r="I181" s="354"/>
      <c r="J181" s="108" t="s">
        <v>290</v>
      </c>
      <c r="K181" s="58"/>
    </row>
    <row r="182" spans="1:11" ht="15.75" thickBot="1">
      <c r="A182" s="339"/>
      <c r="B182" s="340"/>
      <c r="C182" s="340"/>
      <c r="D182" s="340"/>
      <c r="E182" s="341"/>
      <c r="F182" s="305"/>
      <c r="G182" s="305"/>
      <c r="H182" s="305"/>
      <c r="I182" s="355"/>
      <c r="J182" s="108"/>
      <c r="K182" s="58"/>
    </row>
    <row r="183" spans="1:11" ht="38.25" customHeight="1">
      <c r="A183" s="330" t="s">
        <v>186</v>
      </c>
      <c r="B183" s="331"/>
      <c r="C183" s="331"/>
      <c r="D183" s="331"/>
      <c r="E183" s="332"/>
      <c r="F183" s="54" t="s">
        <v>19</v>
      </c>
      <c r="G183" s="89">
        <v>0</v>
      </c>
      <c r="H183" s="333">
        <v>0.5</v>
      </c>
      <c r="I183" s="334"/>
      <c r="J183" s="105" t="s">
        <v>282</v>
      </c>
      <c r="K183" s="58"/>
    </row>
    <row r="184" spans="1:11">
      <c r="A184" s="300" t="s">
        <v>153</v>
      </c>
      <c r="B184" s="301"/>
      <c r="C184" s="301"/>
      <c r="D184" s="301"/>
      <c r="E184" s="301"/>
      <c r="F184" s="304" t="s">
        <v>29</v>
      </c>
      <c r="G184" s="304">
        <v>0</v>
      </c>
      <c r="H184" s="298"/>
      <c r="I184" s="285"/>
      <c r="J184" s="108"/>
      <c r="K184" s="58"/>
    </row>
    <row r="185" spans="1:11" ht="15.75" thickBot="1">
      <c r="A185" s="302"/>
      <c r="B185" s="303"/>
      <c r="C185" s="303"/>
      <c r="D185" s="303"/>
      <c r="E185" s="303"/>
      <c r="F185" s="305"/>
      <c r="G185" s="305"/>
      <c r="H185" s="299"/>
      <c r="I185" s="286"/>
      <c r="J185" s="108"/>
      <c r="K185" s="58"/>
    </row>
    <row r="186" spans="1:11" ht="28.5" customHeight="1">
      <c r="A186" s="330" t="s">
        <v>321</v>
      </c>
      <c r="B186" s="331"/>
      <c r="C186" s="331"/>
      <c r="D186" s="331"/>
      <c r="E186" s="332"/>
      <c r="F186" s="54" t="s">
        <v>19</v>
      </c>
      <c r="G186" s="89">
        <v>0</v>
      </c>
      <c r="H186" s="333">
        <v>0.5</v>
      </c>
      <c r="I186" s="334"/>
      <c r="J186" s="108" t="s">
        <v>289</v>
      </c>
      <c r="K186" s="58"/>
    </row>
    <row r="187" spans="1:11">
      <c r="A187" s="300">
        <v>0</v>
      </c>
      <c r="B187" s="301"/>
      <c r="C187" s="301"/>
      <c r="D187" s="301"/>
      <c r="E187" s="301"/>
      <c r="F187" s="304" t="s">
        <v>29</v>
      </c>
      <c r="G187" s="304">
        <v>0</v>
      </c>
      <c r="H187" s="298"/>
      <c r="I187" s="285"/>
      <c r="J187" s="108" t="s">
        <v>290</v>
      </c>
      <c r="K187" s="58"/>
    </row>
    <row r="188" spans="1:11" ht="15.75" thickBot="1">
      <c r="A188" s="302"/>
      <c r="B188" s="303"/>
      <c r="C188" s="303"/>
      <c r="D188" s="303"/>
      <c r="E188" s="303"/>
      <c r="F188" s="305"/>
      <c r="G188" s="305"/>
      <c r="H188" s="299"/>
      <c r="I188" s="286"/>
      <c r="J188" s="108"/>
      <c r="K188" s="58"/>
    </row>
    <row r="189" spans="1:11" ht="25.5">
      <c r="A189" s="344" t="s">
        <v>187</v>
      </c>
      <c r="B189" s="331"/>
      <c r="C189" s="331"/>
      <c r="D189" s="331"/>
      <c r="E189" s="332"/>
      <c r="F189" s="54" t="s">
        <v>19</v>
      </c>
      <c r="G189" s="89">
        <v>0</v>
      </c>
      <c r="H189" s="333">
        <v>0.5</v>
      </c>
      <c r="I189" s="346"/>
      <c r="J189" s="102" t="s">
        <v>155</v>
      </c>
      <c r="K189" s="105"/>
    </row>
    <row r="190" spans="1:11">
      <c r="A190" s="300" t="s">
        <v>154</v>
      </c>
      <c r="B190" s="301"/>
      <c r="C190" s="301"/>
      <c r="D190" s="301"/>
      <c r="E190" s="301"/>
      <c r="F190" s="304" t="s">
        <v>29</v>
      </c>
      <c r="G190" s="304">
        <f>G189*20%</f>
        <v>0</v>
      </c>
      <c r="H190" s="298"/>
      <c r="I190" s="347"/>
      <c r="J190" s="108"/>
      <c r="K190" s="58"/>
    </row>
    <row r="191" spans="1:11" ht="15.75" thickBot="1">
      <c r="A191" s="302"/>
      <c r="B191" s="303"/>
      <c r="C191" s="303"/>
      <c r="D191" s="303"/>
      <c r="E191" s="303"/>
      <c r="F191" s="305"/>
      <c r="G191" s="305"/>
      <c r="H191" s="299"/>
      <c r="I191" s="348"/>
      <c r="J191" s="108"/>
      <c r="K191" s="58"/>
    </row>
    <row r="192" spans="1:11" ht="32.25" customHeight="1">
      <c r="A192" s="344" t="s">
        <v>188</v>
      </c>
      <c r="B192" s="331"/>
      <c r="C192" s="331"/>
      <c r="D192" s="331"/>
      <c r="E192" s="332"/>
      <c r="F192" s="54" t="s">
        <v>19</v>
      </c>
      <c r="G192" s="89">
        <f>2400/0.8</f>
        <v>3000</v>
      </c>
      <c r="H192" s="333">
        <v>0.5</v>
      </c>
      <c r="I192" s="346"/>
      <c r="J192" s="108" t="s">
        <v>289</v>
      </c>
      <c r="K192" s="58"/>
    </row>
    <row r="193" spans="1:13">
      <c r="A193" s="300" t="s">
        <v>52</v>
      </c>
      <c r="B193" s="301"/>
      <c r="C193" s="301"/>
      <c r="D193" s="301"/>
      <c r="E193" s="301"/>
      <c r="F193" s="304" t="s">
        <v>29</v>
      </c>
      <c r="G193" s="304">
        <f>G192*20%</f>
        <v>600</v>
      </c>
      <c r="H193" s="298"/>
      <c r="I193" s="347"/>
      <c r="J193" s="108" t="s">
        <v>290</v>
      </c>
      <c r="K193" s="58"/>
    </row>
    <row r="194" spans="1:13" ht="15.75" thickBot="1">
      <c r="A194" s="349"/>
      <c r="B194" s="350"/>
      <c r="C194" s="350"/>
      <c r="D194" s="350"/>
      <c r="E194" s="350"/>
      <c r="F194" s="289"/>
      <c r="G194" s="289"/>
      <c r="H194" s="298"/>
      <c r="I194" s="347"/>
      <c r="J194" s="108"/>
      <c r="K194" s="58"/>
    </row>
    <row r="195" spans="1:13" ht="39" customHeight="1">
      <c r="A195" s="351" t="s">
        <v>189</v>
      </c>
      <c r="B195" s="352"/>
      <c r="C195" s="352"/>
      <c r="D195" s="352"/>
      <c r="E195" s="352"/>
      <c r="F195" s="54" t="s">
        <v>19</v>
      </c>
      <c r="G195" s="89">
        <f>1500/0.8</f>
        <v>1875</v>
      </c>
      <c r="H195" s="352">
        <v>0.5</v>
      </c>
      <c r="I195" s="353"/>
      <c r="J195" s="108" t="s">
        <v>289</v>
      </c>
      <c r="K195" s="58"/>
    </row>
    <row r="196" spans="1:13">
      <c r="A196" s="336" t="s">
        <v>156</v>
      </c>
      <c r="B196" s="337"/>
      <c r="C196" s="337"/>
      <c r="D196" s="337"/>
      <c r="E196" s="338"/>
      <c r="F196" s="304" t="s">
        <v>29</v>
      </c>
      <c r="G196" s="304">
        <f>G195*20%</f>
        <v>375</v>
      </c>
      <c r="H196" s="304"/>
      <c r="I196" s="354"/>
      <c r="J196" s="108" t="s">
        <v>290</v>
      </c>
      <c r="K196" s="58"/>
    </row>
    <row r="197" spans="1:13" ht="15.75" thickBot="1">
      <c r="A197" s="339"/>
      <c r="B197" s="340"/>
      <c r="C197" s="340"/>
      <c r="D197" s="340"/>
      <c r="E197" s="341"/>
      <c r="F197" s="305"/>
      <c r="G197" s="305"/>
      <c r="H197" s="305"/>
      <c r="I197" s="355"/>
      <c r="J197" s="108"/>
      <c r="K197" s="58"/>
    </row>
    <row r="198" spans="1:13">
      <c r="A198" s="58"/>
      <c r="B198" s="58"/>
      <c r="C198" s="58"/>
      <c r="D198" s="58"/>
      <c r="E198" s="58"/>
      <c r="F198" s="58"/>
      <c r="G198" s="59"/>
      <c r="H198" s="105"/>
      <c r="I198" s="58"/>
      <c r="J198" s="108"/>
      <c r="K198" s="58"/>
    </row>
    <row r="199" spans="1:13" ht="15.75" thickBot="1">
      <c r="A199" s="103" t="s">
        <v>158</v>
      </c>
      <c r="B199" s="103"/>
      <c r="C199" s="103"/>
      <c r="D199" s="103"/>
      <c r="E199" s="103"/>
      <c r="F199" s="80"/>
      <c r="G199" s="128"/>
      <c r="H199" s="117"/>
      <c r="I199" s="80"/>
      <c r="J199" s="108"/>
      <c r="K199" s="58"/>
    </row>
    <row r="200" spans="1:13" ht="26.25" thickBot="1">
      <c r="A200" s="342" t="s">
        <v>25</v>
      </c>
      <c r="B200" s="343"/>
      <c r="C200" s="343"/>
      <c r="D200" s="343"/>
      <c r="E200" s="343"/>
      <c r="F200" s="83" t="s">
        <v>26</v>
      </c>
      <c r="G200" s="116" t="s">
        <v>27</v>
      </c>
      <c r="H200" s="116" t="s">
        <v>28</v>
      </c>
      <c r="I200" s="84" t="s">
        <v>9</v>
      </c>
      <c r="J200" s="108"/>
      <c r="K200" s="58"/>
    </row>
    <row r="201" spans="1:13" ht="27" customHeight="1">
      <c r="A201" s="344" t="s">
        <v>190</v>
      </c>
      <c r="B201" s="331"/>
      <c r="C201" s="331"/>
      <c r="D201" s="331"/>
      <c r="E201" s="332"/>
      <c r="F201" s="54" t="s">
        <v>19</v>
      </c>
      <c r="G201" s="129">
        <f>700/0.784</f>
        <v>892.85714285714278</v>
      </c>
      <c r="H201" s="333">
        <v>0.5</v>
      </c>
      <c r="I201" s="334"/>
      <c r="J201" s="108" t="s">
        <v>289</v>
      </c>
      <c r="K201" s="58"/>
      <c r="M201" t="s">
        <v>36</v>
      </c>
    </row>
    <row r="202" spans="1:13" ht="38.25" customHeight="1">
      <c r="A202" s="306" t="s">
        <v>160</v>
      </c>
      <c r="B202" s="328"/>
      <c r="C202" s="328"/>
      <c r="D202" s="328"/>
      <c r="E202" s="329"/>
      <c r="F202" s="104" t="s">
        <v>161</v>
      </c>
      <c r="G202" s="130">
        <f>G201*2%</f>
        <v>17.857142857142858</v>
      </c>
      <c r="H202" s="298"/>
      <c r="I202" s="285"/>
      <c r="J202" s="108"/>
      <c r="K202" s="58"/>
      <c r="M202" s="203"/>
    </row>
    <row r="203" spans="1:13">
      <c r="A203" s="300" t="s">
        <v>163</v>
      </c>
      <c r="B203" s="301"/>
      <c r="C203" s="301"/>
      <c r="D203" s="301"/>
      <c r="E203" s="301"/>
      <c r="F203" s="304" t="s">
        <v>29</v>
      </c>
      <c r="G203" s="335">
        <f>(G201-G202)*20%</f>
        <v>175</v>
      </c>
      <c r="H203" s="298"/>
      <c r="I203" s="285"/>
      <c r="J203" s="108" t="s">
        <v>290</v>
      </c>
      <c r="K203" s="58"/>
    </row>
    <row r="204" spans="1:13" ht="15.75" thickBot="1">
      <c r="A204" s="302"/>
      <c r="B204" s="303"/>
      <c r="C204" s="303"/>
      <c r="D204" s="303"/>
      <c r="E204" s="303"/>
      <c r="F204" s="305"/>
      <c r="G204" s="345"/>
      <c r="H204" s="299"/>
      <c r="I204" s="286"/>
      <c r="J204" s="108"/>
      <c r="K204" s="58"/>
    </row>
    <row r="205" spans="1:13" ht="33" customHeight="1">
      <c r="A205" s="330" t="s">
        <v>191</v>
      </c>
      <c r="B205" s="331"/>
      <c r="C205" s="331"/>
      <c r="D205" s="331"/>
      <c r="E205" s="332"/>
      <c r="F205" s="54" t="s">
        <v>19</v>
      </c>
      <c r="G205" s="129">
        <f>2300/0.784</f>
        <v>2933.6734693877552</v>
      </c>
      <c r="H205" s="333">
        <v>0.5</v>
      </c>
      <c r="I205" s="334"/>
      <c r="J205" s="108" t="s">
        <v>289</v>
      </c>
      <c r="K205" s="58"/>
    </row>
    <row r="206" spans="1:13" ht="39" customHeight="1">
      <c r="A206" s="306" t="s">
        <v>162</v>
      </c>
      <c r="B206" s="296"/>
      <c r="C206" s="296"/>
      <c r="D206" s="296"/>
      <c r="E206" s="297"/>
      <c r="F206" s="104" t="s">
        <v>161</v>
      </c>
      <c r="G206" s="130">
        <f>G205*2%</f>
        <v>58.673469387755105</v>
      </c>
      <c r="H206" s="298"/>
      <c r="I206" s="285"/>
      <c r="J206" s="108"/>
      <c r="K206" s="58"/>
    </row>
    <row r="207" spans="1:13">
      <c r="A207" s="300" t="s">
        <v>164</v>
      </c>
      <c r="B207" s="301"/>
      <c r="C207" s="301"/>
      <c r="D207" s="301"/>
      <c r="E207" s="301"/>
      <c r="F207" s="304" t="s">
        <v>29</v>
      </c>
      <c r="G207" s="335">
        <f>(G205-G206)*20%</f>
        <v>575</v>
      </c>
      <c r="H207" s="298"/>
      <c r="I207" s="285"/>
      <c r="J207" s="108" t="s">
        <v>290</v>
      </c>
      <c r="K207" s="58"/>
    </row>
    <row r="208" spans="1:13" ht="15.75" thickBot="1">
      <c r="A208" s="302"/>
      <c r="B208" s="303"/>
      <c r="C208" s="303"/>
      <c r="D208" s="303"/>
      <c r="E208" s="303"/>
      <c r="F208" s="305"/>
      <c r="G208" s="305"/>
      <c r="H208" s="299"/>
      <c r="I208" s="286"/>
      <c r="J208" s="108"/>
      <c r="K208" s="58"/>
    </row>
    <row r="209" spans="1:12" ht="30" customHeight="1">
      <c r="A209" s="310" t="s">
        <v>310</v>
      </c>
      <c r="B209" s="311"/>
      <c r="C209" s="311"/>
      <c r="D209" s="311"/>
      <c r="E209" s="311"/>
      <c r="F209" s="216" t="s">
        <v>19</v>
      </c>
      <c r="G209" s="217">
        <f>1500/0.784</f>
        <v>1913.2653061224489</v>
      </c>
      <c r="H209" s="311">
        <v>0.5</v>
      </c>
      <c r="I209" s="315"/>
      <c r="J209" s="218" t="s">
        <v>289</v>
      </c>
      <c r="K209" s="58"/>
    </row>
    <row r="210" spans="1:12" ht="38.25">
      <c r="A210" s="319" t="s">
        <v>159</v>
      </c>
      <c r="B210" s="320"/>
      <c r="C210" s="320"/>
      <c r="D210" s="320"/>
      <c r="E210" s="321"/>
      <c r="F210" s="219" t="s">
        <v>161</v>
      </c>
      <c r="G210" s="220">
        <f>G209*2%</f>
        <v>38.265306122448976</v>
      </c>
      <c r="H210" s="312"/>
      <c r="I210" s="316"/>
      <c r="J210" s="218"/>
      <c r="K210" s="58"/>
      <c r="L210" s="39"/>
    </row>
    <row r="211" spans="1:12">
      <c r="A211" s="322" t="s">
        <v>291</v>
      </c>
      <c r="B211" s="323"/>
      <c r="C211" s="323"/>
      <c r="D211" s="323"/>
      <c r="E211" s="324"/>
      <c r="F211" s="313" t="s">
        <v>29</v>
      </c>
      <c r="G211" s="313">
        <f>(G209-G210)*20%</f>
        <v>375</v>
      </c>
      <c r="H211" s="313"/>
      <c r="I211" s="317"/>
      <c r="J211" s="218" t="s">
        <v>290</v>
      </c>
      <c r="K211" s="58"/>
    </row>
    <row r="212" spans="1:12" ht="15.75" thickBot="1">
      <c r="A212" s="325"/>
      <c r="B212" s="326"/>
      <c r="C212" s="326"/>
      <c r="D212" s="326"/>
      <c r="E212" s="327"/>
      <c r="F212" s="314"/>
      <c r="G212" s="314"/>
      <c r="H212" s="314"/>
      <c r="I212" s="318"/>
      <c r="J212" s="218"/>
      <c r="K212" s="58"/>
    </row>
    <row r="213" spans="1:12">
      <c r="A213" s="58"/>
      <c r="B213" s="58"/>
      <c r="C213" s="58"/>
      <c r="D213" s="58"/>
      <c r="E213" s="58"/>
      <c r="F213" s="58"/>
      <c r="G213" s="59"/>
      <c r="H213" s="105"/>
      <c r="I213" s="58"/>
      <c r="J213" s="108"/>
      <c r="K213" s="58"/>
    </row>
    <row r="214" spans="1:12" ht="15.75" thickBot="1">
      <c r="A214" s="307" t="s">
        <v>292</v>
      </c>
      <c r="B214" s="307"/>
      <c r="C214" s="307"/>
      <c r="D214" s="307"/>
      <c r="E214" s="307"/>
      <c r="F214" s="307"/>
      <c r="G214" s="307"/>
      <c r="H214" s="307"/>
      <c r="I214" s="307"/>
      <c r="J214" s="108"/>
      <c r="K214" s="58"/>
    </row>
    <row r="215" spans="1:12" ht="25.5">
      <c r="A215" s="308" t="s">
        <v>25</v>
      </c>
      <c r="B215" s="309"/>
      <c r="C215" s="309"/>
      <c r="D215" s="309"/>
      <c r="E215" s="309"/>
      <c r="F215" s="54" t="s">
        <v>26</v>
      </c>
      <c r="G215" s="89" t="s">
        <v>27</v>
      </c>
      <c r="H215" s="89" t="s">
        <v>28</v>
      </c>
      <c r="I215" s="63" t="s">
        <v>9</v>
      </c>
      <c r="J215" s="108"/>
      <c r="K215" s="58"/>
    </row>
    <row r="216" spans="1:12" ht="39" customHeight="1">
      <c r="A216" s="306" t="s">
        <v>192</v>
      </c>
      <c r="B216" s="296"/>
      <c r="C216" s="296"/>
      <c r="D216" s="296"/>
      <c r="E216" s="297"/>
      <c r="F216" s="64" t="s">
        <v>19</v>
      </c>
      <c r="G216" s="99">
        <v>500</v>
      </c>
      <c r="H216" s="289">
        <v>0.5</v>
      </c>
      <c r="I216" s="284"/>
      <c r="J216" s="105" t="s">
        <v>296</v>
      </c>
      <c r="K216" s="58"/>
    </row>
    <row r="217" spans="1:12">
      <c r="A217" s="300" t="s">
        <v>165</v>
      </c>
      <c r="B217" s="301"/>
      <c r="C217" s="301"/>
      <c r="D217" s="301"/>
      <c r="E217" s="301"/>
      <c r="F217" s="304" t="s">
        <v>29</v>
      </c>
      <c r="G217" s="304">
        <v>0</v>
      </c>
      <c r="H217" s="298"/>
      <c r="I217" s="285"/>
      <c r="J217" s="108"/>
      <c r="K217" s="58"/>
    </row>
    <row r="218" spans="1:12" ht="15.75" thickBot="1">
      <c r="A218" s="302"/>
      <c r="B218" s="303"/>
      <c r="C218" s="303"/>
      <c r="D218" s="303"/>
      <c r="E218" s="303"/>
      <c r="F218" s="305"/>
      <c r="G218" s="305"/>
      <c r="H218" s="299"/>
      <c r="I218" s="286"/>
      <c r="J218" s="108"/>
      <c r="K218" s="58"/>
    </row>
    <row r="219" spans="1:12" ht="15.75" thickBot="1">
      <c r="A219" s="62"/>
      <c r="B219" s="62"/>
      <c r="C219" s="62"/>
      <c r="D219" s="62"/>
      <c r="E219" s="62"/>
      <c r="F219" s="61"/>
      <c r="G219" s="61"/>
      <c r="H219" s="61"/>
      <c r="I219" s="62"/>
      <c r="J219" s="108"/>
      <c r="K219" s="58"/>
    </row>
    <row r="220" spans="1:12" ht="25.5">
      <c r="A220" s="292" t="s">
        <v>25</v>
      </c>
      <c r="B220" s="293"/>
      <c r="C220" s="293"/>
      <c r="D220" s="293"/>
      <c r="E220" s="294"/>
      <c r="F220" s="54" t="s">
        <v>26</v>
      </c>
      <c r="G220" s="89" t="s">
        <v>27</v>
      </c>
      <c r="H220" s="89" t="s">
        <v>28</v>
      </c>
      <c r="I220" s="63" t="s">
        <v>9</v>
      </c>
      <c r="J220" s="108"/>
      <c r="K220" s="58"/>
    </row>
    <row r="221" spans="1:12">
      <c r="A221" s="306" t="s">
        <v>193</v>
      </c>
      <c r="B221" s="296"/>
      <c r="C221" s="296"/>
      <c r="D221" s="296"/>
      <c r="E221" s="297"/>
      <c r="F221" s="64" t="s">
        <v>19</v>
      </c>
      <c r="G221" s="99">
        <v>1500</v>
      </c>
      <c r="H221" s="289">
        <v>0.5</v>
      </c>
      <c r="I221" s="284"/>
      <c r="J221" s="108" t="s">
        <v>295</v>
      </c>
      <c r="K221" s="58"/>
    </row>
    <row r="222" spans="1:12">
      <c r="A222" s="300" t="s">
        <v>152</v>
      </c>
      <c r="B222" s="301"/>
      <c r="C222" s="301"/>
      <c r="D222" s="301"/>
      <c r="E222" s="301"/>
      <c r="F222" s="304" t="s">
        <v>29</v>
      </c>
      <c r="G222" s="304">
        <f>G221*20%</f>
        <v>300</v>
      </c>
      <c r="H222" s="298"/>
      <c r="I222" s="285"/>
      <c r="J222" s="108" t="s">
        <v>294</v>
      </c>
      <c r="K222" s="58"/>
    </row>
    <row r="223" spans="1:12" ht="15.75" thickBot="1">
      <c r="A223" s="302"/>
      <c r="B223" s="303"/>
      <c r="C223" s="303"/>
      <c r="D223" s="303"/>
      <c r="E223" s="303"/>
      <c r="F223" s="305"/>
      <c r="G223" s="305"/>
      <c r="H223" s="299"/>
      <c r="I223" s="286"/>
      <c r="J223" s="108"/>
      <c r="K223" s="58"/>
    </row>
    <row r="224" spans="1:12" ht="15" customHeight="1" thickBot="1">
      <c r="A224" s="58"/>
      <c r="B224" s="58"/>
      <c r="C224" s="58"/>
      <c r="D224" s="58"/>
      <c r="E224" s="58"/>
      <c r="F224" s="58"/>
      <c r="G224" s="59"/>
      <c r="H224" s="105"/>
      <c r="I224" s="58"/>
      <c r="J224" s="108"/>
      <c r="K224" s="58"/>
    </row>
    <row r="225" spans="1:11" ht="25.5">
      <c r="A225" s="292" t="s">
        <v>25</v>
      </c>
      <c r="B225" s="293"/>
      <c r="C225" s="293"/>
      <c r="D225" s="293"/>
      <c r="E225" s="294"/>
      <c r="F225" s="54" t="s">
        <v>26</v>
      </c>
      <c r="G225" s="89" t="s">
        <v>27</v>
      </c>
      <c r="H225" s="89" t="s">
        <v>28</v>
      </c>
      <c r="I225" s="63" t="s">
        <v>9</v>
      </c>
      <c r="J225" s="108"/>
      <c r="K225" s="58"/>
    </row>
    <row r="226" spans="1:11" ht="22.5" customHeight="1">
      <c r="A226" s="306" t="s">
        <v>194</v>
      </c>
      <c r="B226" s="296"/>
      <c r="C226" s="296"/>
      <c r="D226" s="296"/>
      <c r="E226" s="297"/>
      <c r="F226" s="64" t="s">
        <v>19</v>
      </c>
      <c r="G226" s="99">
        <v>1700</v>
      </c>
      <c r="H226" s="289">
        <v>0.5</v>
      </c>
      <c r="I226" s="284"/>
      <c r="J226" s="108" t="s">
        <v>295</v>
      </c>
      <c r="K226" s="58"/>
    </row>
    <row r="227" spans="1:11">
      <c r="A227" s="300" t="s">
        <v>166</v>
      </c>
      <c r="B227" s="301"/>
      <c r="C227" s="301"/>
      <c r="D227" s="301"/>
      <c r="E227" s="301"/>
      <c r="F227" s="304" t="s">
        <v>29</v>
      </c>
      <c r="G227" s="304">
        <f>G226*20%</f>
        <v>340</v>
      </c>
      <c r="H227" s="298"/>
      <c r="I227" s="285"/>
      <c r="J227" s="108" t="s">
        <v>294</v>
      </c>
      <c r="K227" s="58"/>
    </row>
    <row r="228" spans="1:11" ht="15.75" thickBot="1">
      <c r="A228" s="302"/>
      <c r="B228" s="303"/>
      <c r="C228" s="303"/>
      <c r="D228" s="303"/>
      <c r="E228" s="303"/>
      <c r="F228" s="305"/>
      <c r="G228" s="305"/>
      <c r="H228" s="299"/>
      <c r="I228" s="286"/>
      <c r="J228" s="108"/>
      <c r="K228" s="58"/>
    </row>
    <row r="229" spans="1:11" ht="15.75" thickBot="1">
      <c r="A229" s="58"/>
      <c r="B229" s="58"/>
      <c r="C229" s="58"/>
      <c r="D229" s="58"/>
      <c r="E229" s="58"/>
      <c r="F229" s="58"/>
      <c r="G229" s="59"/>
      <c r="H229" s="105"/>
      <c r="I229" s="58"/>
      <c r="J229" s="108"/>
      <c r="K229" s="58"/>
    </row>
    <row r="230" spans="1:11" ht="25.5">
      <c r="A230" s="292" t="s">
        <v>25</v>
      </c>
      <c r="B230" s="293"/>
      <c r="C230" s="293"/>
      <c r="D230" s="293"/>
      <c r="E230" s="294"/>
      <c r="F230" s="54" t="s">
        <v>26</v>
      </c>
      <c r="G230" s="89" t="s">
        <v>27</v>
      </c>
      <c r="H230" s="89" t="s">
        <v>28</v>
      </c>
      <c r="I230" s="63" t="s">
        <v>9</v>
      </c>
      <c r="J230" s="108"/>
      <c r="K230" s="58"/>
    </row>
    <row r="231" spans="1:11" ht="26.25" customHeight="1">
      <c r="A231" s="306" t="s">
        <v>195</v>
      </c>
      <c r="B231" s="296"/>
      <c r="C231" s="296"/>
      <c r="D231" s="296"/>
      <c r="E231" s="297"/>
      <c r="F231" s="64" t="s">
        <v>19</v>
      </c>
      <c r="G231" s="99">
        <f>1000/0.8</f>
        <v>1250</v>
      </c>
      <c r="H231" s="289">
        <v>0.5</v>
      </c>
      <c r="I231" s="284"/>
      <c r="J231" s="108" t="s">
        <v>295</v>
      </c>
      <c r="K231" s="58"/>
    </row>
    <row r="232" spans="1:11">
      <c r="A232" s="300" t="s">
        <v>167</v>
      </c>
      <c r="B232" s="301"/>
      <c r="C232" s="301"/>
      <c r="D232" s="301"/>
      <c r="E232" s="301"/>
      <c r="F232" s="304" t="s">
        <v>29</v>
      </c>
      <c r="G232" s="304">
        <f>G231*20%</f>
        <v>250</v>
      </c>
      <c r="H232" s="298"/>
      <c r="I232" s="285"/>
      <c r="J232" s="108" t="s">
        <v>294</v>
      </c>
      <c r="K232" s="58"/>
    </row>
    <row r="233" spans="1:11" ht="15.75" thickBot="1">
      <c r="A233" s="302"/>
      <c r="B233" s="303"/>
      <c r="C233" s="303"/>
      <c r="D233" s="303"/>
      <c r="E233" s="303"/>
      <c r="F233" s="305"/>
      <c r="G233" s="305"/>
      <c r="H233" s="299"/>
      <c r="I233" s="286"/>
      <c r="J233" s="108"/>
      <c r="K233" s="58"/>
    </row>
    <row r="234" spans="1:11">
      <c r="A234" s="58"/>
      <c r="B234" s="58"/>
      <c r="C234" s="58"/>
      <c r="D234" s="58"/>
      <c r="E234" s="58"/>
      <c r="F234" s="58"/>
      <c r="G234" s="59"/>
      <c r="H234" s="105"/>
      <c r="I234" s="58"/>
      <c r="J234" s="108"/>
      <c r="K234" s="58"/>
    </row>
    <row r="235" spans="1:11" ht="15.75" thickBot="1">
      <c r="A235" s="307" t="s">
        <v>169</v>
      </c>
      <c r="B235" s="307"/>
      <c r="C235" s="307"/>
      <c r="D235" s="307"/>
      <c r="E235" s="307"/>
      <c r="F235" s="307"/>
      <c r="G235" s="307"/>
      <c r="H235" s="307"/>
      <c r="I235" s="307"/>
      <c r="J235" s="108"/>
      <c r="K235" s="58"/>
    </row>
    <row r="236" spans="1:11" ht="25.5">
      <c r="A236" s="308" t="s">
        <v>25</v>
      </c>
      <c r="B236" s="309"/>
      <c r="C236" s="309"/>
      <c r="D236" s="309"/>
      <c r="E236" s="309"/>
      <c r="F236" s="54" t="s">
        <v>26</v>
      </c>
      <c r="G236" s="89" t="s">
        <v>27</v>
      </c>
      <c r="H236" s="89" t="s">
        <v>28</v>
      </c>
      <c r="I236" s="63" t="s">
        <v>9</v>
      </c>
      <c r="J236" s="108"/>
      <c r="K236" s="58"/>
    </row>
    <row r="237" spans="1:11" ht="38.25">
      <c r="A237" s="295" t="s">
        <v>168</v>
      </c>
      <c r="B237" s="296"/>
      <c r="C237" s="296"/>
      <c r="D237" s="296"/>
      <c r="E237" s="297"/>
      <c r="F237" s="64" t="s">
        <v>19</v>
      </c>
      <c r="G237" s="99">
        <v>950</v>
      </c>
      <c r="H237" s="289">
        <v>0.5</v>
      </c>
      <c r="I237" s="284"/>
      <c r="J237" s="105" t="s">
        <v>296</v>
      </c>
      <c r="K237" s="58"/>
    </row>
    <row r="238" spans="1:11">
      <c r="A238" s="300" t="s">
        <v>153</v>
      </c>
      <c r="B238" s="301"/>
      <c r="C238" s="301"/>
      <c r="D238" s="301"/>
      <c r="E238" s="301"/>
      <c r="F238" s="304" t="s">
        <v>29</v>
      </c>
      <c r="G238" s="304">
        <v>0</v>
      </c>
      <c r="H238" s="298"/>
      <c r="I238" s="285"/>
      <c r="J238" s="108"/>
      <c r="K238" s="58"/>
    </row>
    <row r="239" spans="1:11" ht="8.25" customHeight="1" thickBot="1">
      <c r="A239" s="302"/>
      <c r="B239" s="303"/>
      <c r="C239" s="303"/>
      <c r="D239" s="303"/>
      <c r="E239" s="303"/>
      <c r="F239" s="305"/>
      <c r="G239" s="305"/>
      <c r="H239" s="299"/>
      <c r="I239" s="286"/>
      <c r="J239" s="108"/>
      <c r="K239" s="58"/>
    </row>
    <row r="240" spans="1:11" ht="15.75" thickBot="1">
      <c r="A240" s="62"/>
      <c r="B240" s="62"/>
      <c r="C240" s="62"/>
      <c r="D240" s="62"/>
      <c r="E240" s="62"/>
      <c r="F240" s="61"/>
      <c r="G240" s="61"/>
      <c r="H240" s="61"/>
      <c r="I240" s="62"/>
      <c r="J240" s="108"/>
      <c r="K240" s="58"/>
    </row>
    <row r="241" spans="1:11" ht="25.5">
      <c r="A241" s="292" t="s">
        <v>25</v>
      </c>
      <c r="B241" s="293"/>
      <c r="C241" s="293"/>
      <c r="D241" s="293"/>
      <c r="E241" s="294"/>
      <c r="F241" s="54" t="s">
        <v>26</v>
      </c>
      <c r="G241" s="89" t="s">
        <v>27</v>
      </c>
      <c r="H241" s="89" t="s">
        <v>28</v>
      </c>
      <c r="I241" s="63" t="s">
        <v>9</v>
      </c>
      <c r="J241" s="108"/>
      <c r="K241" s="58"/>
    </row>
    <row r="242" spans="1:11">
      <c r="A242" s="306" t="s">
        <v>196</v>
      </c>
      <c r="B242" s="296"/>
      <c r="C242" s="296"/>
      <c r="D242" s="296"/>
      <c r="E242" s="297"/>
      <c r="F242" s="64" t="s">
        <v>19</v>
      </c>
      <c r="G242" s="99">
        <f>(700+1100)/0.8</f>
        <v>2250</v>
      </c>
      <c r="H242" s="289">
        <v>0.5</v>
      </c>
      <c r="I242" s="284"/>
      <c r="J242" s="108" t="s">
        <v>295</v>
      </c>
      <c r="K242" s="58"/>
    </row>
    <row r="243" spans="1:11">
      <c r="A243" s="300" t="s">
        <v>170</v>
      </c>
      <c r="B243" s="301"/>
      <c r="C243" s="301"/>
      <c r="D243" s="301"/>
      <c r="E243" s="301"/>
      <c r="F243" s="304" t="s">
        <v>29</v>
      </c>
      <c r="G243" s="304">
        <f>G242*20%</f>
        <v>450</v>
      </c>
      <c r="H243" s="298"/>
      <c r="I243" s="285"/>
      <c r="J243" s="108" t="s">
        <v>294</v>
      </c>
      <c r="K243" s="58"/>
    </row>
    <row r="244" spans="1:11" ht="11.25" customHeight="1" thickBot="1">
      <c r="A244" s="302"/>
      <c r="B244" s="303"/>
      <c r="C244" s="303"/>
      <c r="D244" s="303"/>
      <c r="E244" s="303"/>
      <c r="F244" s="305"/>
      <c r="G244" s="305"/>
      <c r="H244" s="299"/>
      <c r="I244" s="286"/>
      <c r="J244" s="108"/>
      <c r="K244" s="58"/>
    </row>
    <row r="245" spans="1:11" ht="12" customHeight="1">
      <c r="A245" s="58"/>
      <c r="B245" s="58"/>
      <c r="C245" s="58"/>
      <c r="D245" s="58"/>
      <c r="E245" s="58"/>
      <c r="F245" s="58"/>
      <c r="G245" s="59"/>
      <c r="H245" s="105"/>
      <c r="I245" s="58"/>
      <c r="J245" s="108"/>
      <c r="K245" s="58"/>
    </row>
    <row r="246" spans="1:11" ht="15.75" thickBot="1">
      <c r="A246" s="291" t="s">
        <v>171</v>
      </c>
      <c r="B246" s="291"/>
      <c r="C246" s="291"/>
      <c r="D246" s="291"/>
      <c r="E246" s="291"/>
      <c r="F246" s="291"/>
      <c r="G246" s="291"/>
      <c r="H246" s="291"/>
      <c r="I246" s="291"/>
      <c r="J246" s="108"/>
      <c r="K246" s="58"/>
    </row>
    <row r="247" spans="1:11" ht="25.5">
      <c r="A247" s="292" t="s">
        <v>25</v>
      </c>
      <c r="B247" s="293"/>
      <c r="C247" s="293"/>
      <c r="D247" s="293"/>
      <c r="E247" s="294"/>
      <c r="F247" s="54" t="s">
        <v>26</v>
      </c>
      <c r="G247" s="89" t="s">
        <v>27</v>
      </c>
      <c r="H247" s="89" t="s">
        <v>28</v>
      </c>
      <c r="I247" s="63" t="s">
        <v>9</v>
      </c>
      <c r="J247" s="108"/>
      <c r="K247" s="58"/>
    </row>
    <row r="248" spans="1:11">
      <c r="A248" s="295" t="s">
        <v>197</v>
      </c>
      <c r="B248" s="296"/>
      <c r="C248" s="296"/>
      <c r="D248" s="296"/>
      <c r="E248" s="297"/>
      <c r="F248" s="64" t="s">
        <v>19</v>
      </c>
      <c r="G248" s="99">
        <v>0</v>
      </c>
      <c r="H248" s="289">
        <v>0.5</v>
      </c>
      <c r="I248" s="284"/>
      <c r="J248" s="108" t="s">
        <v>220</v>
      </c>
      <c r="K248" s="58"/>
    </row>
    <row r="249" spans="1:11">
      <c r="A249" s="300">
        <v>0</v>
      </c>
      <c r="B249" s="301"/>
      <c r="C249" s="301"/>
      <c r="D249" s="301"/>
      <c r="E249" s="301"/>
      <c r="F249" s="304" t="s">
        <v>29</v>
      </c>
      <c r="G249" s="304">
        <f>G248*20%</f>
        <v>0</v>
      </c>
      <c r="H249" s="298"/>
      <c r="I249" s="285"/>
      <c r="J249" s="108"/>
      <c r="K249" s="58"/>
    </row>
    <row r="250" spans="1:11" ht="15.75" thickBot="1">
      <c r="A250" s="302"/>
      <c r="B250" s="303"/>
      <c r="C250" s="303"/>
      <c r="D250" s="303"/>
      <c r="E250" s="303"/>
      <c r="F250" s="305"/>
      <c r="G250" s="305"/>
      <c r="H250" s="299"/>
      <c r="I250" s="286"/>
      <c r="J250" s="108"/>
      <c r="K250" s="58"/>
    </row>
    <row r="251" spans="1:11">
      <c r="A251" s="58"/>
      <c r="B251" s="58"/>
      <c r="C251" s="58"/>
      <c r="D251" s="58"/>
      <c r="E251" s="58"/>
      <c r="F251" s="58"/>
      <c r="G251" s="59"/>
      <c r="H251" s="105"/>
      <c r="I251" s="58"/>
      <c r="J251" s="108"/>
      <c r="K251" s="58"/>
    </row>
  </sheetData>
  <mergeCells count="337">
    <mergeCell ref="A94:E94"/>
    <mergeCell ref="A95:E95"/>
    <mergeCell ref="A96:E96"/>
    <mergeCell ref="A88:I88"/>
    <mergeCell ref="A89:E89"/>
    <mergeCell ref="A90:E90"/>
    <mergeCell ref="A12:E12"/>
    <mergeCell ref="A17:E17"/>
    <mergeCell ref="A22:E22"/>
    <mergeCell ref="A49:E49"/>
    <mergeCell ref="H49:H51"/>
    <mergeCell ref="I49:I51"/>
    <mergeCell ref="A50:E50"/>
    <mergeCell ref="A51:E51"/>
    <mergeCell ref="A71:E71"/>
    <mergeCell ref="A39:E39"/>
    <mergeCell ref="A40:E40"/>
    <mergeCell ref="A30:I30"/>
    <mergeCell ref="A31:E31"/>
    <mergeCell ref="A32:E32"/>
    <mergeCell ref="H32:H34"/>
    <mergeCell ref="A33:E33"/>
    <mergeCell ref="A25:E25"/>
    <mergeCell ref="A27:E27"/>
    <mergeCell ref="A1:I1"/>
    <mergeCell ref="B2:I2"/>
    <mergeCell ref="A4:I4"/>
    <mergeCell ref="A6:I6"/>
    <mergeCell ref="A11:E11"/>
    <mergeCell ref="A8:E8"/>
    <mergeCell ref="A79:I79"/>
    <mergeCell ref="A80:E80"/>
    <mergeCell ref="A81:E81"/>
    <mergeCell ref="H81:H82"/>
    <mergeCell ref="I81:I82"/>
    <mergeCell ref="A82:E82"/>
    <mergeCell ref="A9:E9"/>
    <mergeCell ref="A26:E26"/>
    <mergeCell ref="A10:E10"/>
    <mergeCell ref="F9:F11"/>
    <mergeCell ref="A14:I14"/>
    <mergeCell ref="A15:E15"/>
    <mergeCell ref="A16:E16"/>
    <mergeCell ref="A19:I19"/>
    <mergeCell ref="A20:E20"/>
    <mergeCell ref="A21:E21"/>
    <mergeCell ref="A24:I24"/>
    <mergeCell ref="A28:E28"/>
    <mergeCell ref="A84:I84"/>
    <mergeCell ref="A85:E85"/>
    <mergeCell ref="A86:E86"/>
    <mergeCell ref="A107:E107"/>
    <mergeCell ref="A145:E145"/>
    <mergeCell ref="I106:I107"/>
    <mergeCell ref="I104:I105"/>
    <mergeCell ref="H102:H103"/>
    <mergeCell ref="H100:H101"/>
    <mergeCell ref="A99:E99"/>
    <mergeCell ref="A100:E100"/>
    <mergeCell ref="A101:E101"/>
    <mergeCell ref="A102:E102"/>
    <mergeCell ref="A103:E103"/>
    <mergeCell ref="A120:E120"/>
    <mergeCell ref="A121:E121"/>
    <mergeCell ref="H121:H122"/>
    <mergeCell ref="I121:I122"/>
    <mergeCell ref="A128:I128"/>
    <mergeCell ref="A129:E129"/>
    <mergeCell ref="H123:H124"/>
    <mergeCell ref="I123:I124"/>
    <mergeCell ref="A125:E125"/>
    <mergeCell ref="A126:E126"/>
    <mergeCell ref="H26:H28"/>
    <mergeCell ref="A36:I36"/>
    <mergeCell ref="A37:E37"/>
    <mergeCell ref="A38:E38"/>
    <mergeCell ref="A92:E92"/>
    <mergeCell ref="A93:E93"/>
    <mergeCell ref="H165:H167"/>
    <mergeCell ref="A163:I163"/>
    <mergeCell ref="A164:E164"/>
    <mergeCell ref="A165:E165"/>
    <mergeCell ref="A166:E167"/>
    <mergeCell ref="F166:F167"/>
    <mergeCell ref="G166:G167"/>
    <mergeCell ref="I165:I167"/>
    <mergeCell ref="I115:I116"/>
    <mergeCell ref="A116:E116"/>
    <mergeCell ref="A117:E117"/>
    <mergeCell ref="H117:H118"/>
    <mergeCell ref="I117:I118"/>
    <mergeCell ref="A118:E118"/>
    <mergeCell ref="A119:E119"/>
    <mergeCell ref="H119:H120"/>
    <mergeCell ref="I119:I120"/>
    <mergeCell ref="I100:I101"/>
    <mergeCell ref="I102:I103"/>
    <mergeCell ref="A146:E146"/>
    <mergeCell ref="H145:H146"/>
    <mergeCell ref="I145:I146"/>
    <mergeCell ref="H104:H105"/>
    <mergeCell ref="H106:H107"/>
    <mergeCell ref="A143:I143"/>
    <mergeCell ref="A144:E144"/>
    <mergeCell ref="A104:E104"/>
    <mergeCell ref="A105:E105"/>
    <mergeCell ref="A106:E106"/>
    <mergeCell ref="A112:E112"/>
    <mergeCell ref="A113:E113"/>
    <mergeCell ref="H113:H114"/>
    <mergeCell ref="I113:I114"/>
    <mergeCell ref="A114:E114"/>
    <mergeCell ref="A115:E115"/>
    <mergeCell ref="H115:H116"/>
    <mergeCell ref="A111:I111"/>
    <mergeCell ref="A122:E122"/>
    <mergeCell ref="A123:E123"/>
    <mergeCell ref="A124:E124"/>
    <mergeCell ref="H125:H126"/>
    <mergeCell ref="I125:I126"/>
    <mergeCell ref="I33:I34"/>
    <mergeCell ref="A34:E34"/>
    <mergeCell ref="A44:I44"/>
    <mergeCell ref="A45:E45"/>
    <mergeCell ref="A46:E46"/>
    <mergeCell ref="H46:H48"/>
    <mergeCell ref="I46:I48"/>
    <mergeCell ref="A47:E47"/>
    <mergeCell ref="A48:E48"/>
    <mergeCell ref="A41:E41"/>
    <mergeCell ref="A42:E42"/>
    <mergeCell ref="H38:H42"/>
    <mergeCell ref="I38:I42"/>
    <mergeCell ref="A61:E61"/>
    <mergeCell ref="H61:H62"/>
    <mergeCell ref="I61:I62"/>
    <mergeCell ref="A62:E62"/>
    <mergeCell ref="A56:E56"/>
    <mergeCell ref="A54:E54"/>
    <mergeCell ref="A55:E55"/>
    <mergeCell ref="H55:H57"/>
    <mergeCell ref="I55:I57"/>
    <mergeCell ref="A57:E57"/>
    <mergeCell ref="H16:H17"/>
    <mergeCell ref="A98:I98"/>
    <mergeCell ref="A108:E108"/>
    <mergeCell ref="A109:E109"/>
    <mergeCell ref="H108:H109"/>
    <mergeCell ref="I108:I109"/>
    <mergeCell ref="A74:I74"/>
    <mergeCell ref="A75:E75"/>
    <mergeCell ref="A76:E76"/>
    <mergeCell ref="H76:H77"/>
    <mergeCell ref="I76:I77"/>
    <mergeCell ref="A77:E77"/>
    <mergeCell ref="A68:I68"/>
    <mergeCell ref="A69:E69"/>
    <mergeCell ref="A70:E70"/>
    <mergeCell ref="H70:H72"/>
    <mergeCell ref="I70:I72"/>
    <mergeCell ref="A72:E72"/>
    <mergeCell ref="A64:I64"/>
    <mergeCell ref="A65:E65"/>
    <mergeCell ref="A66:E66"/>
    <mergeCell ref="A53:I53"/>
    <mergeCell ref="A59:I59"/>
    <mergeCell ref="A60:E60"/>
    <mergeCell ref="A130:E130"/>
    <mergeCell ref="H130:H131"/>
    <mergeCell ref="I130:I131"/>
    <mergeCell ref="A131:E131"/>
    <mergeCell ref="A132:E132"/>
    <mergeCell ref="H132:H133"/>
    <mergeCell ref="I132:I133"/>
    <mergeCell ref="A133:E133"/>
    <mergeCell ref="H155:H156"/>
    <mergeCell ref="I155:I156"/>
    <mergeCell ref="A156:E156"/>
    <mergeCell ref="A134:E134"/>
    <mergeCell ref="H134:H135"/>
    <mergeCell ref="I134:I135"/>
    <mergeCell ref="A135:E135"/>
    <mergeCell ref="A136:E136"/>
    <mergeCell ref="H136:H137"/>
    <mergeCell ref="I136:I137"/>
    <mergeCell ref="A137:E137"/>
    <mergeCell ref="A138:E138"/>
    <mergeCell ref="H138:H139"/>
    <mergeCell ref="I138:I139"/>
    <mergeCell ref="A139:E139"/>
    <mergeCell ref="A153:I153"/>
    <mergeCell ref="A180:E180"/>
    <mergeCell ref="H180:H182"/>
    <mergeCell ref="I180:I182"/>
    <mergeCell ref="A181:E182"/>
    <mergeCell ref="F181:F182"/>
    <mergeCell ref="G181:G182"/>
    <mergeCell ref="A140:E140"/>
    <mergeCell ref="H140:H141"/>
    <mergeCell ref="I140:I141"/>
    <mergeCell ref="A141:E141"/>
    <mergeCell ref="A158:I158"/>
    <mergeCell ref="A159:E159"/>
    <mergeCell ref="A160:E160"/>
    <mergeCell ref="H160:H161"/>
    <mergeCell ref="I160:I161"/>
    <mergeCell ref="A161:E161"/>
    <mergeCell ref="A148:I148"/>
    <mergeCell ref="A149:E149"/>
    <mergeCell ref="A150:E150"/>
    <mergeCell ref="H150:H151"/>
    <mergeCell ref="I150:I151"/>
    <mergeCell ref="A151:E151"/>
    <mergeCell ref="A154:E154"/>
    <mergeCell ref="A155:E155"/>
    <mergeCell ref="A176:E176"/>
    <mergeCell ref="A177:E177"/>
    <mergeCell ref="H177:H179"/>
    <mergeCell ref="I177:I179"/>
    <mergeCell ref="A178:E179"/>
    <mergeCell ref="F178:F179"/>
    <mergeCell ref="G178:G179"/>
    <mergeCell ref="A169:I169"/>
    <mergeCell ref="A170:E170"/>
    <mergeCell ref="A171:E171"/>
    <mergeCell ref="H171:H173"/>
    <mergeCell ref="I171:I173"/>
    <mergeCell ref="A172:E173"/>
    <mergeCell ref="F172:F173"/>
    <mergeCell ref="G172:G173"/>
    <mergeCell ref="A200:E200"/>
    <mergeCell ref="A201:E201"/>
    <mergeCell ref="H201:H204"/>
    <mergeCell ref="I201:I204"/>
    <mergeCell ref="A203:E204"/>
    <mergeCell ref="F203:F204"/>
    <mergeCell ref="G203:G204"/>
    <mergeCell ref="A189:E189"/>
    <mergeCell ref="H189:H191"/>
    <mergeCell ref="A190:E191"/>
    <mergeCell ref="F190:F191"/>
    <mergeCell ref="G190:G191"/>
    <mergeCell ref="I189:I191"/>
    <mergeCell ref="A192:E192"/>
    <mergeCell ref="H192:H194"/>
    <mergeCell ref="I192:I194"/>
    <mergeCell ref="A193:E194"/>
    <mergeCell ref="F193:F194"/>
    <mergeCell ref="G193:G194"/>
    <mergeCell ref="A195:E195"/>
    <mergeCell ref="G196:G197"/>
    <mergeCell ref="F196:F197"/>
    <mergeCell ref="I195:I197"/>
    <mergeCell ref="H195:H197"/>
    <mergeCell ref="A196:E197"/>
    <mergeCell ref="A183:E183"/>
    <mergeCell ref="H183:H185"/>
    <mergeCell ref="I183:I185"/>
    <mergeCell ref="A184:E185"/>
    <mergeCell ref="F184:F185"/>
    <mergeCell ref="G184:G185"/>
    <mergeCell ref="A186:E186"/>
    <mergeCell ref="H186:H188"/>
    <mergeCell ref="I186:I188"/>
    <mergeCell ref="A187:E188"/>
    <mergeCell ref="F187:F188"/>
    <mergeCell ref="G187:G188"/>
    <mergeCell ref="A209:E209"/>
    <mergeCell ref="H209:H212"/>
    <mergeCell ref="I209:I212"/>
    <mergeCell ref="A210:E210"/>
    <mergeCell ref="A211:E212"/>
    <mergeCell ref="F211:F212"/>
    <mergeCell ref="G211:G212"/>
    <mergeCell ref="A202:E202"/>
    <mergeCell ref="A206:E206"/>
    <mergeCell ref="A205:E205"/>
    <mergeCell ref="H205:H208"/>
    <mergeCell ref="I205:I208"/>
    <mergeCell ref="A207:E208"/>
    <mergeCell ref="F207:F208"/>
    <mergeCell ref="G207:G208"/>
    <mergeCell ref="A226:E226"/>
    <mergeCell ref="H226:H228"/>
    <mergeCell ref="I226:I228"/>
    <mergeCell ref="A227:E228"/>
    <mergeCell ref="F227:F228"/>
    <mergeCell ref="G227:G228"/>
    <mergeCell ref="A214:I214"/>
    <mergeCell ref="A215:E215"/>
    <mergeCell ref="A216:E216"/>
    <mergeCell ref="H216:H218"/>
    <mergeCell ref="I216:I218"/>
    <mergeCell ref="A217:E218"/>
    <mergeCell ref="F217:F218"/>
    <mergeCell ref="G217:G218"/>
    <mergeCell ref="A225:E225"/>
    <mergeCell ref="A220:E220"/>
    <mergeCell ref="A221:E221"/>
    <mergeCell ref="H221:H223"/>
    <mergeCell ref="I221:I223"/>
    <mergeCell ref="A222:E223"/>
    <mergeCell ref="F222:F223"/>
    <mergeCell ref="G222:G223"/>
    <mergeCell ref="A230:E230"/>
    <mergeCell ref="A231:E231"/>
    <mergeCell ref="H231:H233"/>
    <mergeCell ref="I231:I233"/>
    <mergeCell ref="A232:E233"/>
    <mergeCell ref="F232:F233"/>
    <mergeCell ref="G232:G233"/>
    <mergeCell ref="A235:I235"/>
    <mergeCell ref="A236:E236"/>
    <mergeCell ref="I9:I12"/>
    <mergeCell ref="H21:H22"/>
    <mergeCell ref="H94:H95"/>
    <mergeCell ref="A246:I246"/>
    <mergeCell ref="A247:E247"/>
    <mergeCell ref="A248:E248"/>
    <mergeCell ref="H248:H250"/>
    <mergeCell ref="I248:I250"/>
    <mergeCell ref="A249:E250"/>
    <mergeCell ref="F249:F250"/>
    <mergeCell ref="G249:G250"/>
    <mergeCell ref="A237:E237"/>
    <mergeCell ref="H237:H239"/>
    <mergeCell ref="I237:I239"/>
    <mergeCell ref="A238:E239"/>
    <mergeCell ref="F238:F239"/>
    <mergeCell ref="G238:G239"/>
    <mergeCell ref="A241:E241"/>
    <mergeCell ref="A242:E242"/>
    <mergeCell ref="H242:H244"/>
    <mergeCell ref="I242:I244"/>
    <mergeCell ref="A243:E244"/>
    <mergeCell ref="F243:F244"/>
    <mergeCell ref="G243:G244"/>
  </mergeCells>
  <printOptions horizontalCentered="1"/>
  <pageMargins left="0.19685039370078741" right="0.19685039370078741" top="3.937007874015748E-2" bottom="0.2362204724409449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orksheet____1"/>
  <dimension ref="A1:J66"/>
  <sheetViews>
    <sheetView topLeftCell="A44" workbookViewId="0">
      <selection activeCell="F12" sqref="F12"/>
    </sheetView>
  </sheetViews>
  <sheetFormatPr defaultRowHeight="15"/>
  <cols>
    <col min="1" max="1" width="11.140625" customWidth="1"/>
    <col min="3" max="3" width="8.85546875" style="14"/>
    <col min="4" max="4" width="38.5703125" customWidth="1"/>
    <col min="5" max="5" width="5.28515625" style="143" customWidth="1"/>
    <col min="6" max="7" width="11.28515625" style="224" customWidth="1"/>
    <col min="8" max="10" width="23.85546875" style="205" customWidth="1"/>
  </cols>
  <sheetData>
    <row r="1" spans="1:10" ht="18">
      <c r="A1" s="9" t="s">
        <v>35</v>
      </c>
    </row>
    <row r="2" spans="1:10">
      <c r="A2" s="10" t="s">
        <v>36</v>
      </c>
    </row>
    <row r="3" spans="1:10" ht="15.75" thickBot="1">
      <c r="A3" s="496" t="s">
        <v>37</v>
      </c>
      <c r="B3" s="496"/>
      <c r="C3" s="496"/>
      <c r="D3" s="496"/>
    </row>
    <row r="4" spans="1:10" ht="16.149999999999999" customHeight="1">
      <c r="A4" s="476" t="s">
        <v>36</v>
      </c>
      <c r="B4" s="477"/>
      <c r="C4" s="477"/>
      <c r="D4" s="477"/>
      <c r="E4" s="478"/>
      <c r="F4" s="225" t="s">
        <v>38</v>
      </c>
      <c r="G4" s="482" t="s">
        <v>241</v>
      </c>
    </row>
    <row r="5" spans="1:10" ht="23.25" customHeight="1" thickBot="1">
      <c r="A5" s="479"/>
      <c r="B5" s="480"/>
      <c r="C5" s="480"/>
      <c r="D5" s="480"/>
      <c r="E5" s="481"/>
      <c r="F5" s="226" t="s">
        <v>240</v>
      </c>
      <c r="G5" s="483"/>
    </row>
    <row r="6" spans="1:10" s="143" customFormat="1" ht="23.25" customHeight="1" thickBot="1">
      <c r="A6" s="506">
        <v>1</v>
      </c>
      <c r="B6" s="507"/>
      <c r="C6" s="507"/>
      <c r="D6" s="508"/>
      <c r="E6" s="144">
        <v>2</v>
      </c>
      <c r="F6" s="255">
        <v>3</v>
      </c>
      <c r="G6" s="256">
        <v>4</v>
      </c>
      <c r="H6" s="206"/>
      <c r="I6" s="206"/>
      <c r="J6" s="206"/>
    </row>
    <row r="7" spans="1:10" ht="45.75" customHeight="1" thickBot="1">
      <c r="A7" s="490" t="s">
        <v>242</v>
      </c>
      <c r="B7" s="491"/>
      <c r="C7" s="491"/>
      <c r="D7" s="492"/>
      <c r="E7" s="151">
        <v>16</v>
      </c>
      <c r="F7" s="107">
        <f>'ხელფასის უწყისი'!E15</f>
        <v>35395.960045662097</v>
      </c>
      <c r="G7" s="242"/>
      <c r="H7" s="205" t="s">
        <v>206</v>
      </c>
    </row>
    <row r="8" spans="1:10" ht="43.5" customHeight="1" thickBot="1">
      <c r="A8" s="458" t="s">
        <v>243</v>
      </c>
      <c r="B8" s="459"/>
      <c r="C8" s="459"/>
      <c r="D8" s="460"/>
      <c r="E8" s="151">
        <v>17</v>
      </c>
      <c r="F8" s="107">
        <f>'ხელფასის უწყისი'!H15</f>
        <v>27246.816666666666</v>
      </c>
      <c r="G8" s="204">
        <f>'ხელფასის უწყისი'!I15</f>
        <v>5449.3633333333337</v>
      </c>
      <c r="H8" s="205" t="s">
        <v>207</v>
      </c>
    </row>
    <row r="9" spans="1:10" ht="19.149999999999999" customHeight="1" thickBot="1">
      <c r="A9" s="493" t="s">
        <v>244</v>
      </c>
      <c r="B9" s="494"/>
      <c r="C9" s="494"/>
      <c r="D9" s="495"/>
      <c r="E9" s="152">
        <v>18</v>
      </c>
      <c r="F9" s="227">
        <f>'სამუშაო რვეული'!G132</f>
        <v>1000</v>
      </c>
      <c r="G9" s="243">
        <f>'სამუშაო რვეული'!G133</f>
        <v>200</v>
      </c>
      <c r="H9" s="205" t="s">
        <v>226</v>
      </c>
    </row>
    <row r="10" spans="1:10" ht="27" customHeight="1" thickBot="1">
      <c r="A10" s="484" t="s">
        <v>41</v>
      </c>
      <c r="B10" s="485"/>
      <c r="C10" s="486"/>
      <c r="D10" s="148" t="s">
        <v>245</v>
      </c>
      <c r="E10" s="153">
        <v>19</v>
      </c>
      <c r="F10" s="228">
        <f>'სამუშაო რვეული'!G180+'სამუშაო რვეული'!G186+'სამუშაო რვეული'!G192+'სამუშაო რვეული'!G195+'სამუშაო რვეული'!G201-'სამუშაო რვეული'!G202+'სამუშაო რვეული'!G205-'სამუშაო რვეული'!G206+'სამუშაო რვეული'!G209-'სამუშაო რვეული'!G210</f>
        <v>12000</v>
      </c>
      <c r="G10" s="244">
        <f>'სამუშაო რვეული'!G181+'სამუშაო რვეული'!G187+'სამუშაო რვეული'!G193+'სამუშაო რვეული'!G196+'სამუშაო რვეული'!G203+'სამუშაო რვეული'!G207+'სამუშაო რვეული'!G211</f>
        <v>2400</v>
      </c>
      <c r="H10" s="205" t="s">
        <v>286</v>
      </c>
    </row>
    <row r="11" spans="1:10" ht="41.45" customHeight="1" thickBot="1">
      <c r="A11" s="487"/>
      <c r="B11" s="488"/>
      <c r="C11" s="489"/>
      <c r="D11" s="149" t="s">
        <v>246</v>
      </c>
      <c r="E11" s="151">
        <v>20</v>
      </c>
      <c r="F11" s="107">
        <f>'სამუშაო რვეული'!G177</f>
        <v>1000</v>
      </c>
      <c r="G11" s="204">
        <f>'სამუშაო რვეული'!G178</f>
        <v>50</v>
      </c>
      <c r="H11" s="205" t="s">
        <v>286</v>
      </c>
    </row>
    <row r="12" spans="1:10" ht="51" customHeight="1" thickBot="1">
      <c r="A12" s="470" t="s">
        <v>276</v>
      </c>
      <c r="B12" s="471"/>
      <c r="C12" s="471"/>
      <c r="D12" s="472"/>
      <c r="E12" s="154">
        <v>21</v>
      </c>
      <c r="F12" s="229">
        <f>'სამუშაო რვეული'!G221+'სამუშაო რვეული'!G226+'სამუშაო რვეული'!G231+'სამუშაო რვეული'!G242</f>
        <v>6700</v>
      </c>
      <c r="G12" s="245">
        <f>'სამუშაო რვეული'!G222+'სამუშაო რვეული'!G227+'სამუშაო რვეული'!G232+'სამუშაო რვეული'!G243</f>
        <v>1340</v>
      </c>
      <c r="H12" s="205" t="s">
        <v>293</v>
      </c>
    </row>
    <row r="13" spans="1:10" ht="24" customHeight="1" thickBot="1">
      <c r="A13" s="458" t="s">
        <v>247</v>
      </c>
      <c r="B13" s="459"/>
      <c r="C13" s="459"/>
      <c r="D13" s="460"/>
      <c r="E13" s="155">
        <v>22</v>
      </c>
      <c r="F13" s="230">
        <f>'სამუშაო რვეული'!G100+'სამუშაო რვეული'!G102</f>
        <v>20000</v>
      </c>
      <c r="G13" s="246"/>
      <c r="H13" s="205" t="s">
        <v>208</v>
      </c>
    </row>
    <row r="14" spans="1:10" ht="31.15" customHeight="1" thickBot="1">
      <c r="A14" s="473" t="s">
        <v>243</v>
      </c>
      <c r="B14" s="474"/>
      <c r="C14" s="474"/>
      <c r="D14" s="475"/>
      <c r="E14" s="147">
        <v>23</v>
      </c>
      <c r="F14" s="230">
        <f>'სამუშაო რვეული'!G100+'სამუშაო რვეული'!G102</f>
        <v>20000</v>
      </c>
      <c r="G14" s="244">
        <f>'სამუშაო რვეული'!G101+'სამუშაო რვეული'!G103</f>
        <v>1000</v>
      </c>
      <c r="H14" s="205" t="s">
        <v>208</v>
      </c>
    </row>
    <row r="15" spans="1:10" ht="16.899999999999999" customHeight="1" thickBot="1">
      <c r="A15" s="458" t="s">
        <v>248</v>
      </c>
      <c r="B15" s="459"/>
      <c r="C15" s="459"/>
      <c r="D15" s="460"/>
      <c r="E15" s="147">
        <v>24</v>
      </c>
      <c r="F15" s="107">
        <f>'სამუშაო რვეული'!G121+'სამუშაო რვეული'!G125</f>
        <v>25600</v>
      </c>
      <c r="G15" s="242"/>
      <c r="H15" s="205" t="s">
        <v>209</v>
      </c>
    </row>
    <row r="16" spans="1:10" ht="31.15" customHeight="1" thickBot="1">
      <c r="A16" s="461" t="s">
        <v>243</v>
      </c>
      <c r="B16" s="462"/>
      <c r="C16" s="462"/>
      <c r="D16" s="463"/>
      <c r="E16" s="147">
        <v>25</v>
      </c>
      <c r="F16" s="107">
        <f>'სამუშაო რვეული'!G125</f>
        <v>600</v>
      </c>
      <c r="G16" s="204">
        <f>'სამუშაო რვეული'!G126</f>
        <v>30</v>
      </c>
      <c r="H16" s="205" t="str">
        <f>H15</f>
        <v>სამუშაო რვეული 2.2</v>
      </c>
    </row>
    <row r="17" spans="1:10" ht="40.15" customHeight="1" thickBot="1">
      <c r="A17" s="464" t="s">
        <v>249</v>
      </c>
      <c r="B17" s="465"/>
      <c r="C17" s="465"/>
      <c r="D17" s="466"/>
      <c r="E17" s="151">
        <v>26</v>
      </c>
      <c r="F17" s="107"/>
      <c r="G17" s="242"/>
    </row>
    <row r="18" spans="1:10" ht="60.6" customHeight="1" thickBot="1">
      <c r="A18" s="467" t="s">
        <v>250</v>
      </c>
      <c r="B18" s="468"/>
      <c r="C18" s="468"/>
      <c r="D18" s="469"/>
      <c r="E18" s="154">
        <v>27</v>
      </c>
      <c r="F18" s="229">
        <f>F19+F20+F21+F22+F23</f>
        <v>26000</v>
      </c>
      <c r="G18" s="247"/>
      <c r="H18" s="207"/>
      <c r="I18" s="207"/>
      <c r="J18" s="207"/>
    </row>
    <row r="19" spans="1:10" ht="22.9" customHeight="1" thickBot="1">
      <c r="A19" s="440" t="s">
        <v>251</v>
      </c>
      <c r="B19" s="441"/>
      <c r="C19" s="441"/>
      <c r="D19" s="442"/>
      <c r="E19" s="156">
        <v>28</v>
      </c>
      <c r="F19" s="231">
        <f>'სამუშაო რვეული'!G138</f>
        <v>20000</v>
      </c>
      <c r="G19" s="456"/>
      <c r="H19" s="205" t="s">
        <v>226</v>
      </c>
    </row>
    <row r="20" spans="1:10" ht="25.9" customHeight="1" thickBot="1">
      <c r="A20" s="440" t="s">
        <v>252</v>
      </c>
      <c r="B20" s="441"/>
      <c r="C20" s="441"/>
      <c r="D20" s="442"/>
      <c r="E20" s="145">
        <v>29</v>
      </c>
      <c r="F20" s="231"/>
      <c r="G20" s="457"/>
    </row>
    <row r="21" spans="1:10" ht="28.15" customHeight="1" thickBot="1">
      <c r="A21" s="440" t="s">
        <v>253</v>
      </c>
      <c r="B21" s="441"/>
      <c r="C21" s="441"/>
      <c r="D21" s="442"/>
      <c r="E21" s="145">
        <v>30</v>
      </c>
      <c r="F21" s="231"/>
      <c r="G21" s="457"/>
    </row>
    <row r="22" spans="1:10" ht="18" customHeight="1" thickBot="1">
      <c r="A22" s="440" t="s">
        <v>43</v>
      </c>
      <c r="B22" s="441"/>
      <c r="C22" s="441"/>
      <c r="D22" s="442"/>
      <c r="E22" s="157">
        <v>31</v>
      </c>
      <c r="F22" s="231"/>
      <c r="G22" s="457"/>
    </row>
    <row r="23" spans="1:10" ht="19.899999999999999" customHeight="1" thickBot="1">
      <c r="A23" s="440" t="s">
        <v>254</v>
      </c>
      <c r="B23" s="441"/>
      <c r="C23" s="441"/>
      <c r="D23" s="442"/>
      <c r="E23" s="154">
        <v>32</v>
      </c>
      <c r="F23" s="231">
        <f>'სამუშაო რვეული'!G119+'სამუშაო რვეული'!G136</f>
        <v>6000</v>
      </c>
      <c r="G23" s="457"/>
      <c r="H23" s="205" t="s">
        <v>209</v>
      </c>
    </row>
    <row r="24" spans="1:10" ht="60.6" customHeight="1" thickBot="1">
      <c r="A24" s="503" t="s">
        <v>255</v>
      </c>
      <c r="B24" s="504"/>
      <c r="C24" s="504"/>
      <c r="D24" s="505"/>
      <c r="E24" s="158">
        <v>33</v>
      </c>
      <c r="F24" s="227">
        <f>F29</f>
        <v>6000</v>
      </c>
      <c r="G24" s="248"/>
    </row>
    <row r="25" spans="1:10" ht="22.9" customHeight="1" thickBot="1">
      <c r="A25" s="443" t="s">
        <v>256</v>
      </c>
      <c r="B25" s="444"/>
      <c r="C25" s="444"/>
      <c r="D25" s="445"/>
      <c r="E25" s="157">
        <v>34</v>
      </c>
      <c r="F25" s="231"/>
      <c r="G25" s="509"/>
    </row>
    <row r="26" spans="1:10" ht="33.6" customHeight="1" thickBot="1">
      <c r="A26" s="443" t="s">
        <v>257</v>
      </c>
      <c r="B26" s="444"/>
      <c r="C26" s="444"/>
      <c r="D26" s="445"/>
      <c r="E26" s="145">
        <v>35</v>
      </c>
      <c r="F26" s="231"/>
      <c r="G26" s="510"/>
    </row>
    <row r="27" spans="1:10" ht="17.45" customHeight="1" thickBot="1">
      <c r="A27" s="440" t="s">
        <v>42</v>
      </c>
      <c r="B27" s="441"/>
      <c r="C27" s="441"/>
      <c r="D27" s="442"/>
      <c r="E27" s="157">
        <v>36</v>
      </c>
      <c r="F27" s="231"/>
      <c r="G27" s="510"/>
    </row>
    <row r="28" spans="1:10" ht="18.600000000000001" customHeight="1" thickBot="1">
      <c r="A28" s="440" t="s">
        <v>44</v>
      </c>
      <c r="B28" s="441"/>
      <c r="C28" s="441"/>
      <c r="D28" s="442"/>
      <c r="E28" s="154">
        <v>37</v>
      </c>
      <c r="F28" s="232"/>
      <c r="G28" s="511"/>
    </row>
    <row r="29" spans="1:10" ht="19.899999999999999" customHeight="1" thickBot="1">
      <c r="A29" s="443" t="s">
        <v>224</v>
      </c>
      <c r="B29" s="444"/>
      <c r="C29" s="444"/>
      <c r="D29" s="445"/>
      <c r="E29" s="156">
        <v>38</v>
      </c>
      <c r="F29" s="233">
        <f>'სამუშაო რვეული'!G119+'სამუშაო რვეული'!G136</f>
        <v>6000</v>
      </c>
      <c r="G29" s="204">
        <f>'სამუშაო რვეული'!G120+'სამუშაო რვეული'!G137</f>
        <v>900</v>
      </c>
      <c r="H29" s="205" t="s">
        <v>209</v>
      </c>
    </row>
    <row r="30" spans="1:10" ht="41.45" customHeight="1" thickBot="1">
      <c r="A30" s="513" t="s">
        <v>258</v>
      </c>
      <c r="B30" s="514"/>
      <c r="C30" s="514"/>
      <c r="D30" s="515"/>
      <c r="E30" s="147">
        <v>39</v>
      </c>
      <c r="F30" s="234"/>
      <c r="G30" s="249">
        <f>G8+G9+G10+G11+G12+G14+G25+G29</f>
        <v>11339.363333333335</v>
      </c>
    </row>
    <row r="31" spans="1:10" ht="51.6" customHeight="1" thickBot="1">
      <c r="A31" s="467" t="s">
        <v>259</v>
      </c>
      <c r="B31" s="468"/>
      <c r="C31" s="468"/>
      <c r="D31" s="469"/>
      <c r="E31" s="159">
        <v>40</v>
      </c>
      <c r="F31" s="227">
        <f>F32+F33+F34+F35+F36+F37+F38</f>
        <v>128277.77777777778</v>
      </c>
      <c r="G31" s="242"/>
    </row>
    <row r="32" spans="1:10" ht="21" customHeight="1" thickBot="1">
      <c r="A32" s="440" t="s">
        <v>251</v>
      </c>
      <c r="B32" s="441"/>
      <c r="C32" s="441"/>
      <c r="D32" s="442"/>
      <c r="E32" s="160">
        <v>41</v>
      </c>
      <c r="F32" s="231">
        <f>'სამუშაო რვეული'!G140</f>
        <v>10000</v>
      </c>
      <c r="G32" s="247"/>
      <c r="H32" s="205" t="s">
        <v>226</v>
      </c>
    </row>
    <row r="33" spans="1:10" ht="19.149999999999999" customHeight="1" thickBot="1">
      <c r="A33" s="440" t="s">
        <v>260</v>
      </c>
      <c r="B33" s="441"/>
      <c r="C33" s="441"/>
      <c r="D33" s="442"/>
      <c r="E33" s="161">
        <v>42</v>
      </c>
      <c r="F33" s="231">
        <f>'სამუშაო რვეული'!G145+'სამუშაო რვეული'!G150</f>
        <v>21666.666666666668</v>
      </c>
      <c r="G33" s="248"/>
      <c r="H33" s="205" t="s">
        <v>237</v>
      </c>
    </row>
    <row r="34" spans="1:10" ht="18" customHeight="1" thickBot="1">
      <c r="A34" s="440" t="s">
        <v>253</v>
      </c>
      <c r="B34" s="441"/>
      <c r="C34" s="441"/>
      <c r="D34" s="442"/>
      <c r="E34" s="162">
        <v>43</v>
      </c>
      <c r="F34" s="231">
        <f>'სამუშაო რვეული'!G155</f>
        <v>8500</v>
      </c>
      <c r="G34" s="248"/>
      <c r="H34" s="205" t="s">
        <v>279</v>
      </c>
    </row>
    <row r="35" spans="1:10" ht="19.149999999999999" customHeight="1" thickBot="1">
      <c r="A35" s="440" t="s">
        <v>225</v>
      </c>
      <c r="B35" s="441"/>
      <c r="C35" s="441"/>
      <c r="D35" s="442"/>
      <c r="E35" s="146">
        <v>44</v>
      </c>
      <c r="F35" s="231">
        <f>'სამუშაო რვეული'!G171</f>
        <v>11111.111111111111</v>
      </c>
      <c r="G35" s="248"/>
      <c r="H35" s="205" t="s">
        <v>283</v>
      </c>
    </row>
    <row r="36" spans="1:10" ht="18" customHeight="1" thickBot="1">
      <c r="A36" s="440" t="s">
        <v>261</v>
      </c>
      <c r="B36" s="441"/>
      <c r="C36" s="441"/>
      <c r="D36" s="442"/>
      <c r="E36" s="163">
        <v>45</v>
      </c>
      <c r="F36" s="231"/>
      <c r="G36" s="248"/>
    </row>
    <row r="37" spans="1:10" ht="18.600000000000001" customHeight="1" thickBot="1">
      <c r="A37" s="443" t="s">
        <v>262</v>
      </c>
      <c r="B37" s="444"/>
      <c r="C37" s="444"/>
      <c r="D37" s="445"/>
      <c r="E37" s="162">
        <v>46</v>
      </c>
      <c r="F37" s="235">
        <f>'სამუშაო რვეული'!G106+'სამუშაო რვეული'!G108</f>
        <v>50000</v>
      </c>
      <c r="G37" s="246"/>
      <c r="H37" s="205" t="s">
        <v>208</v>
      </c>
    </row>
    <row r="38" spans="1:10" ht="18.600000000000001" customHeight="1" thickBot="1">
      <c r="A38" s="443" t="s">
        <v>263</v>
      </c>
      <c r="B38" s="444"/>
      <c r="C38" s="444"/>
      <c r="D38" s="445"/>
      <c r="E38" s="164">
        <v>47</v>
      </c>
      <c r="F38" s="107">
        <f>'სამუშაო რვეული'!G123+'სამუშაო რვეული'!G160</f>
        <v>27000</v>
      </c>
      <c r="G38" s="242"/>
      <c r="H38" s="205" t="s">
        <v>280</v>
      </c>
    </row>
    <row r="39" spans="1:10" ht="53.45" customHeight="1">
      <c r="A39" s="517" t="s">
        <v>264</v>
      </c>
      <c r="B39" s="518"/>
      <c r="C39" s="518"/>
      <c r="D39" s="519"/>
      <c r="E39" s="165">
        <v>48</v>
      </c>
      <c r="F39" s="227">
        <f>F40+F41+F42+F43+F44+F45+F46</f>
        <v>113277.77777777778</v>
      </c>
      <c r="G39" s="248"/>
    </row>
    <row r="40" spans="1:10" ht="23.45" customHeight="1">
      <c r="A40" s="452" t="s">
        <v>233</v>
      </c>
      <c r="B40" s="452"/>
      <c r="C40" s="452"/>
      <c r="D40" s="452"/>
      <c r="E40" s="202">
        <v>49</v>
      </c>
      <c r="F40" s="236">
        <f>'სამუშაო რვეული'!G140</f>
        <v>10000</v>
      </c>
      <c r="G40" s="250">
        <f>'სამუშაო რვეული'!G141</f>
        <v>500</v>
      </c>
      <c r="H40" s="205" t="s">
        <v>226</v>
      </c>
    </row>
    <row r="41" spans="1:10" ht="23.45" customHeight="1">
      <c r="A41" s="452" t="s">
        <v>236</v>
      </c>
      <c r="B41" s="452"/>
      <c r="C41" s="452"/>
      <c r="D41" s="452"/>
      <c r="E41" s="202">
        <v>50</v>
      </c>
      <c r="F41" s="237">
        <f>'სამუშაო რვეული'!G145+'სამუშაო რვეული'!G150</f>
        <v>21666.666666666668</v>
      </c>
      <c r="G41" s="251">
        <f>'სამუშაო რვეული'!G146+'სამუშაო რვეული'!G151</f>
        <v>2166.666666666667</v>
      </c>
      <c r="H41" s="205" t="s">
        <v>237</v>
      </c>
    </row>
    <row r="42" spans="1:10">
      <c r="A42" s="452" t="s">
        <v>234</v>
      </c>
      <c r="B42" s="452"/>
      <c r="C42" s="452"/>
      <c r="D42" s="452"/>
      <c r="E42" s="202">
        <v>51</v>
      </c>
      <c r="F42" s="238">
        <f>'სამუშაო რვეული'!G155</f>
        <v>8500</v>
      </c>
      <c r="G42" s="252">
        <f>'სამუშაო რვეული'!G156</f>
        <v>340</v>
      </c>
      <c r="H42" s="205" t="s">
        <v>279</v>
      </c>
    </row>
    <row r="43" spans="1:10" ht="15" customHeight="1">
      <c r="A43" s="452" t="s">
        <v>235</v>
      </c>
      <c r="B43" s="452"/>
      <c r="C43" s="452"/>
      <c r="D43" s="452"/>
      <c r="E43" s="202">
        <v>52</v>
      </c>
      <c r="F43" s="239">
        <f>'სამუშაო რვეული'!G171</f>
        <v>11111.111111111111</v>
      </c>
      <c r="G43" s="253">
        <f>F43*10%</f>
        <v>1111.1111111111111</v>
      </c>
      <c r="H43" s="205" t="s">
        <v>283</v>
      </c>
    </row>
    <row r="44" spans="1:10" ht="16.899999999999999" customHeight="1" thickBot="1">
      <c r="A44" s="453" t="s">
        <v>265</v>
      </c>
      <c r="B44" s="454"/>
      <c r="C44" s="454"/>
      <c r="D44" s="455"/>
      <c r="E44" s="166">
        <v>53</v>
      </c>
      <c r="F44" s="231"/>
      <c r="G44" s="243"/>
    </row>
    <row r="45" spans="1:10" ht="16.149999999999999" customHeight="1" thickBot="1">
      <c r="A45" s="443" t="s">
        <v>262</v>
      </c>
      <c r="B45" s="444"/>
      <c r="C45" s="444"/>
      <c r="D45" s="445"/>
      <c r="E45" s="162">
        <v>54</v>
      </c>
      <c r="F45" s="235">
        <f>'სამუშაო რვეული'!G106+'სამუშაო რვეული'!G108</f>
        <v>50000</v>
      </c>
      <c r="G45" s="244">
        <f>'სამუშაო რვეული'!G107+'სამუშაო რვეული'!G109</f>
        <v>2500</v>
      </c>
      <c r="H45" s="205" t="s">
        <v>208</v>
      </c>
    </row>
    <row r="46" spans="1:10" ht="25.5" customHeight="1" thickBot="1">
      <c r="A46" s="443" t="s">
        <v>263</v>
      </c>
      <c r="B46" s="444"/>
      <c r="C46" s="444"/>
      <c r="D46" s="445"/>
      <c r="E46" s="164">
        <v>55</v>
      </c>
      <c r="F46" s="240">
        <f>'სამუშაო რვეული'!G123</f>
        <v>12000</v>
      </c>
      <c r="G46" s="254">
        <f>'სამუშაო რვეული'!G124</f>
        <v>600</v>
      </c>
      <c r="H46" s="205" t="s">
        <v>335</v>
      </c>
    </row>
    <row r="47" spans="1:10" ht="54" customHeight="1" thickBot="1">
      <c r="A47" s="446" t="s">
        <v>45</v>
      </c>
      <c r="B47" s="447"/>
      <c r="C47" s="447"/>
      <c r="D47" s="448"/>
      <c r="E47" s="158">
        <v>56</v>
      </c>
      <c r="F47" s="241"/>
      <c r="G47" s="244">
        <f>SUM(G40:G46)</f>
        <v>7217.7777777777783</v>
      </c>
      <c r="H47" s="207"/>
      <c r="I47" s="207"/>
      <c r="J47" s="207"/>
    </row>
    <row r="48" spans="1:10" ht="33.6" customHeight="1" thickBot="1">
      <c r="A48" s="449" t="s">
        <v>39</v>
      </c>
      <c r="B48" s="450"/>
      <c r="C48" s="450"/>
      <c r="D48" s="451"/>
      <c r="E48" s="167">
        <v>57</v>
      </c>
      <c r="F48" s="234"/>
      <c r="G48" s="254">
        <f>G30+G47</f>
        <v>18557.141111111112</v>
      </c>
    </row>
    <row r="49" spans="1:8">
      <c r="A49" s="150"/>
      <c r="B49" s="150"/>
      <c r="C49" s="143"/>
      <c r="D49" s="150"/>
    </row>
    <row r="50" spans="1:8" ht="19.149999999999999" customHeight="1" thickBot="1">
      <c r="A50" s="142"/>
      <c r="B50" s="516" t="s">
        <v>266</v>
      </c>
      <c r="C50" s="516"/>
      <c r="D50" s="516"/>
    </row>
    <row r="51" spans="1:8" ht="15.75" customHeight="1" thickBot="1">
      <c r="A51" s="431" t="s">
        <v>267</v>
      </c>
      <c r="B51" s="432"/>
      <c r="C51" s="432"/>
      <c r="D51" s="433"/>
      <c r="E51" s="168">
        <v>58</v>
      </c>
      <c r="F51" s="501">
        <v>1285000</v>
      </c>
      <c r="G51" s="502"/>
    </row>
    <row r="52" spans="1:8" ht="15.75" customHeight="1" thickBot="1">
      <c r="A52" s="431" t="s">
        <v>268</v>
      </c>
      <c r="B52" s="432"/>
      <c r="C52" s="432"/>
      <c r="D52" s="433"/>
      <c r="E52" s="169">
        <v>59</v>
      </c>
      <c r="F52" s="497" t="s">
        <v>51</v>
      </c>
      <c r="G52" s="498"/>
    </row>
    <row r="53" spans="1:8" ht="28.15" customHeight="1" thickBot="1">
      <c r="A53" s="437" t="s">
        <v>269</v>
      </c>
      <c r="B53" s="438"/>
      <c r="C53" s="438"/>
      <c r="D53" s="439"/>
      <c r="E53" s="169">
        <v>60</v>
      </c>
      <c r="F53" s="497">
        <v>50000</v>
      </c>
      <c r="G53" s="498"/>
    </row>
    <row r="54" spans="1:8" ht="28.15" customHeight="1" thickBot="1">
      <c r="A54" s="437" t="s">
        <v>46</v>
      </c>
      <c r="B54" s="438"/>
      <c r="C54" s="438"/>
      <c r="D54" s="439"/>
      <c r="E54" s="169">
        <v>61</v>
      </c>
      <c r="F54" s="497">
        <v>7</v>
      </c>
      <c r="G54" s="498"/>
    </row>
    <row r="55" spans="1:8" ht="29.25" customHeight="1" thickBot="1">
      <c r="A55" s="437" t="s">
        <v>270</v>
      </c>
      <c r="B55" s="438"/>
      <c r="C55" s="438"/>
      <c r="D55" s="439"/>
      <c r="E55" s="169">
        <v>62</v>
      </c>
      <c r="F55" s="497">
        <f>'სამუშაო რვეული'!G216+'სამუშაო რვეული'!G237</f>
        <v>1450</v>
      </c>
      <c r="G55" s="498"/>
      <c r="H55" s="205" t="s">
        <v>293</v>
      </c>
    </row>
    <row r="56" spans="1:8" ht="27.75" customHeight="1" thickBot="1">
      <c r="A56" s="431" t="s">
        <v>40</v>
      </c>
      <c r="B56" s="432"/>
      <c r="C56" s="432"/>
      <c r="D56" s="433"/>
      <c r="E56" s="169">
        <v>63</v>
      </c>
      <c r="F56" s="497">
        <v>183000</v>
      </c>
      <c r="G56" s="498"/>
    </row>
    <row r="57" spans="1:8" ht="13.15" customHeight="1" thickBot="1">
      <c r="A57" s="434" t="s">
        <v>47</v>
      </c>
      <c r="B57" s="435"/>
      <c r="C57" s="435"/>
      <c r="D57" s="436"/>
      <c r="E57" s="169">
        <v>64</v>
      </c>
      <c r="F57" s="497">
        <v>102000</v>
      </c>
      <c r="G57" s="498"/>
    </row>
    <row r="58" spans="1:8" ht="13.9" customHeight="1" thickBot="1">
      <c r="A58" s="431" t="s">
        <v>271</v>
      </c>
      <c r="B58" s="432"/>
      <c r="C58" s="432"/>
      <c r="D58" s="433"/>
      <c r="E58" s="169">
        <v>65</v>
      </c>
      <c r="F58" s="497"/>
      <c r="G58" s="498"/>
    </row>
    <row r="59" spans="1:8" ht="15.75" customHeight="1" thickBot="1">
      <c r="A59" s="431" t="s">
        <v>272</v>
      </c>
      <c r="B59" s="432"/>
      <c r="C59" s="432"/>
      <c r="D59" s="433"/>
      <c r="E59" s="169">
        <v>66</v>
      </c>
      <c r="F59" s="497"/>
      <c r="G59" s="498"/>
    </row>
    <row r="60" spans="1:8" ht="15.75" customHeight="1" thickBot="1">
      <c r="A60" s="431" t="s">
        <v>273</v>
      </c>
      <c r="B60" s="432"/>
      <c r="C60" s="432"/>
      <c r="D60" s="433"/>
      <c r="E60" s="169">
        <v>67</v>
      </c>
      <c r="F60" s="497">
        <f>22225+1500</f>
        <v>23725</v>
      </c>
      <c r="G60" s="498"/>
    </row>
    <row r="61" spans="1:8" ht="15.75" customHeight="1" thickBot="1">
      <c r="A61" s="431" t="s">
        <v>274</v>
      </c>
      <c r="B61" s="432"/>
      <c r="C61" s="432"/>
      <c r="D61" s="433"/>
      <c r="E61" s="169">
        <v>68</v>
      </c>
      <c r="F61" s="497">
        <v>110500</v>
      </c>
      <c r="G61" s="498"/>
    </row>
    <row r="62" spans="1:8" ht="15.75" customHeight="1" thickBot="1">
      <c r="A62" s="431" t="s">
        <v>275</v>
      </c>
      <c r="B62" s="432"/>
      <c r="C62" s="432"/>
      <c r="D62" s="433"/>
      <c r="E62" s="170">
        <v>69</v>
      </c>
      <c r="F62" s="499">
        <v>2</v>
      </c>
      <c r="G62" s="500"/>
    </row>
    <row r="63" spans="1:8">
      <c r="A63" s="11"/>
      <c r="B63" s="11"/>
      <c r="C63" s="13"/>
      <c r="D63" s="11"/>
    </row>
    <row r="64" spans="1:8">
      <c r="A64" s="12" t="s">
        <v>36</v>
      </c>
    </row>
    <row r="66" spans="3:6">
      <c r="C66" s="512"/>
      <c r="D66" s="512"/>
      <c r="E66" s="512"/>
      <c r="F66" s="512"/>
    </row>
  </sheetData>
  <mergeCells count="73">
    <mergeCell ref="G25:G28"/>
    <mergeCell ref="A41:D41"/>
    <mergeCell ref="C66:F66"/>
    <mergeCell ref="F56:G56"/>
    <mergeCell ref="F57:G57"/>
    <mergeCell ref="F58:G58"/>
    <mergeCell ref="F59:G59"/>
    <mergeCell ref="F60:G60"/>
    <mergeCell ref="A38:D38"/>
    <mergeCell ref="A30:D30"/>
    <mergeCell ref="A31:D31"/>
    <mergeCell ref="A51:D51"/>
    <mergeCell ref="B50:D50"/>
    <mergeCell ref="A39:D39"/>
    <mergeCell ref="A34:D34"/>
    <mergeCell ref="A35:D35"/>
    <mergeCell ref="A3:D3"/>
    <mergeCell ref="F61:G61"/>
    <mergeCell ref="F62:G62"/>
    <mergeCell ref="F51:G51"/>
    <mergeCell ref="F52:G52"/>
    <mergeCell ref="F53:G53"/>
    <mergeCell ref="F54:G54"/>
    <mergeCell ref="F55:G55"/>
    <mergeCell ref="A25:D25"/>
    <mergeCell ref="A45:D45"/>
    <mergeCell ref="A46:D46"/>
    <mergeCell ref="A24:D24"/>
    <mergeCell ref="A26:D26"/>
    <mergeCell ref="A27:D27"/>
    <mergeCell ref="A8:D8"/>
    <mergeCell ref="A6:D6"/>
    <mergeCell ref="A12:D12"/>
    <mergeCell ref="A13:D13"/>
    <mergeCell ref="A14:D14"/>
    <mergeCell ref="A4:E5"/>
    <mergeCell ref="G4:G5"/>
    <mergeCell ref="A10:C11"/>
    <mergeCell ref="A7:D7"/>
    <mergeCell ref="A9:D9"/>
    <mergeCell ref="A19:D19"/>
    <mergeCell ref="A20:D20"/>
    <mergeCell ref="A21:D21"/>
    <mergeCell ref="G19:G23"/>
    <mergeCell ref="A15:D15"/>
    <mergeCell ref="A16:D16"/>
    <mergeCell ref="A17:D17"/>
    <mergeCell ref="A18:D18"/>
    <mergeCell ref="A22:D22"/>
    <mergeCell ref="A23:D23"/>
    <mergeCell ref="A48:D48"/>
    <mergeCell ref="A40:D40"/>
    <mergeCell ref="A42:D42"/>
    <mergeCell ref="A43:D43"/>
    <mergeCell ref="A44:D44"/>
    <mergeCell ref="A28:D28"/>
    <mergeCell ref="A29:D29"/>
    <mergeCell ref="A36:D36"/>
    <mergeCell ref="A37:D37"/>
    <mergeCell ref="A47:D47"/>
    <mergeCell ref="A32:D32"/>
    <mergeCell ref="A33:D33"/>
    <mergeCell ref="A52:D52"/>
    <mergeCell ref="A53:D53"/>
    <mergeCell ref="A55:D55"/>
    <mergeCell ref="A56:D56"/>
    <mergeCell ref="A58:D58"/>
    <mergeCell ref="A54:D54"/>
    <mergeCell ref="A59:D59"/>
    <mergeCell ref="A62:D62"/>
    <mergeCell ref="A61:D61"/>
    <mergeCell ref="A60:D60"/>
    <mergeCell ref="A57:D57"/>
  </mergeCells>
  <printOptions horizontalCentered="1"/>
  <pageMargins left="0" right="0.19685039370078741" top="0.23622047244094491" bottom="0.23622047244094491" header="0.31496062992125984" footer="0.31496062992125984"/>
  <pageSetup paperSize="9" scale="85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Control 3">
          <controlPr defaultSize="0" r:id="rId5">
            <anchor moveWithCells="1">
              <from>
                <xdr:col>10</xdr:col>
                <xdr:colOff>0</xdr:colOff>
                <xdr:row>34</xdr:row>
                <xdr:rowOff>0</xdr:rowOff>
              </from>
              <to>
                <xdr:col>11</xdr:col>
                <xdr:colOff>304800</xdr:colOff>
                <xdr:row>34</xdr:row>
                <xdr:rowOff>228600</xdr:rowOff>
              </to>
            </anchor>
          </controlPr>
        </control>
      </mc:Choice>
      <mc:Fallback>
        <control shapeId="1027" r:id="rId4" name="Control 3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10</xdr:col>
                <xdr:colOff>0</xdr:colOff>
                <xdr:row>34</xdr:row>
                <xdr:rowOff>0</xdr:rowOff>
              </from>
              <to>
                <xdr:col>11</xdr:col>
                <xdr:colOff>304800</xdr:colOff>
                <xdr:row>34</xdr:row>
                <xdr:rowOff>228600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5" r:id="rId7" name="Control 1">
          <controlPr defaultSize="0" r:id="rId5">
            <anchor moveWithCells="1">
              <from>
                <xdr:col>10</xdr:col>
                <xdr:colOff>0</xdr:colOff>
                <xdr:row>34</xdr:row>
                <xdr:rowOff>0</xdr:rowOff>
              </from>
              <to>
                <xdr:col>11</xdr:col>
                <xdr:colOff>304800</xdr:colOff>
                <xdr:row>34</xdr:row>
                <xdr:rowOff>228600</xdr:rowOff>
              </to>
            </anchor>
          </controlPr>
        </control>
      </mc:Choice>
      <mc:Fallback>
        <control shapeId="1025" r:id="rId7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ხელფასის უწყისი</vt:lpstr>
      <vt:lpstr>სხვა განაცემები</vt:lpstr>
      <vt:lpstr>სამუშაო რვეული</vt:lpstr>
      <vt:lpstr>დეკლარაცია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2022-04-19T08:36:58Z</cp:lastPrinted>
  <dcterms:created xsi:type="dcterms:W3CDTF">2021-04-06T06:36:19Z</dcterms:created>
  <dcterms:modified xsi:type="dcterms:W3CDTF">2022-04-19T08:42:07Z</dcterms:modified>
</cp:coreProperties>
</file>