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la\GFPAA\Exams\AAA-January 2024\Z-Mock exma - F6\Final\"/>
    </mc:Choice>
  </mc:AlternateContent>
  <bookViews>
    <workbookView xWindow="0" yWindow="0" windowWidth="28800" windowHeight="12435"/>
  </bookViews>
  <sheets>
    <sheet name="ხელფასის უწყისი" sheetId="1" r:id="rId1"/>
    <sheet name="სხვა განაცემები" sheetId="4" r:id="rId2"/>
    <sheet name="სამუშაო რვეული" sheetId="2" r:id="rId3"/>
    <sheet name="დეკლარაცია" sheetId="3" r:id="rId4"/>
  </sheets>
  <calcPr calcId="152511"/>
</workbook>
</file>

<file path=xl/calcChain.xml><?xml version="1.0" encoding="utf-8"?>
<calcChain xmlns="http://schemas.openxmlformats.org/spreadsheetml/2006/main">
  <c r="F60" i="3" l="1"/>
  <c r="G29" i="2" l="1"/>
  <c r="G34" i="2" l="1"/>
  <c r="G33" i="2"/>
  <c r="G27" i="2"/>
  <c r="G26" i="2"/>
  <c r="G28" i="2" s="1"/>
  <c r="D11" i="4" l="1"/>
  <c r="D12" i="4"/>
  <c r="D10" i="4"/>
  <c r="F32" i="3" l="1"/>
  <c r="F46" i="3"/>
  <c r="F40" i="3"/>
  <c r="Z14" i="4" l="1"/>
  <c r="K9" i="4" l="1"/>
  <c r="AB9" i="4" s="1"/>
  <c r="G16" i="2"/>
  <c r="G40" i="2" l="1"/>
  <c r="G243" i="2" l="1"/>
  <c r="G172" i="2"/>
  <c r="G151" i="2"/>
  <c r="F23" i="3" l="1"/>
  <c r="F29" i="3"/>
  <c r="F55" i="3" l="1"/>
  <c r="F43" i="3"/>
  <c r="G43" i="3" s="1"/>
  <c r="F35" i="3"/>
  <c r="F38" i="3"/>
  <c r="F42" i="3"/>
  <c r="F34" i="3"/>
  <c r="F19" i="3"/>
  <c r="F24" i="3"/>
  <c r="H16" i="3"/>
  <c r="F18" i="3" l="1"/>
  <c r="F9" i="3"/>
  <c r="G250" i="2" l="1"/>
  <c r="G244" i="2"/>
  <c r="G232" i="2"/>
  <c r="G223" i="2"/>
  <c r="G228" i="2"/>
  <c r="G206" i="2"/>
  <c r="G207" i="2" s="1"/>
  <c r="G208" i="2" s="1"/>
  <c r="G202" i="2"/>
  <c r="G203" i="2" s="1"/>
  <c r="G182" i="2"/>
  <c r="G210" i="2"/>
  <c r="G211" i="2" s="1"/>
  <c r="G212" i="2" s="1"/>
  <c r="G196" i="2"/>
  <c r="G197" i="2" s="1"/>
  <c r="G193" i="2"/>
  <c r="G191" i="2"/>
  <c r="G178" i="2"/>
  <c r="G173" i="2"/>
  <c r="G157" i="2"/>
  <c r="G42" i="3" s="1"/>
  <c r="G162" i="2"/>
  <c r="G147" i="2"/>
  <c r="G134" i="2"/>
  <c r="G142" i="2"/>
  <c r="G40" i="3" s="1"/>
  <c r="G138" i="2"/>
  <c r="G136" i="2"/>
  <c r="G126" i="2"/>
  <c r="G125" i="2"/>
  <c r="G119" i="2"/>
  <c r="G121" i="2"/>
  <c r="G110" i="2"/>
  <c r="G104" i="2"/>
  <c r="G46" i="3" l="1"/>
  <c r="G9" i="3"/>
  <c r="G152" i="2"/>
  <c r="G41" i="3" s="1"/>
  <c r="F33" i="3"/>
  <c r="F41" i="3"/>
  <c r="G179" i="2"/>
  <c r="G11" i="3" s="1"/>
  <c r="F11" i="3"/>
  <c r="G127" i="2"/>
  <c r="G16" i="3" s="1"/>
  <c r="F15" i="3"/>
  <c r="F16" i="3"/>
  <c r="G29" i="3"/>
  <c r="G194" i="2"/>
  <c r="F10" i="3"/>
  <c r="G233" i="2"/>
  <c r="G12" i="3" s="1"/>
  <c r="F12" i="3"/>
  <c r="G204" i="2"/>
  <c r="I8" i="1"/>
  <c r="I10" i="1"/>
  <c r="I14" i="1"/>
  <c r="Y14" i="4"/>
  <c r="AB14" i="4"/>
  <c r="V14" i="4"/>
  <c r="R8" i="4"/>
  <c r="D9" i="1" s="1"/>
  <c r="E9" i="1" s="1"/>
  <c r="R9" i="4"/>
  <c r="D10" i="1" s="1"/>
  <c r="E10" i="1" s="1"/>
  <c r="G10" i="1" s="1"/>
  <c r="R13" i="4"/>
  <c r="D14" i="1" s="1"/>
  <c r="E14" i="1" s="1"/>
  <c r="G14" i="1" s="1"/>
  <c r="D14" i="4"/>
  <c r="E14" i="4"/>
  <c r="H14" i="4"/>
  <c r="K14" i="4"/>
  <c r="O14" i="4"/>
  <c r="P14" i="4"/>
  <c r="C14" i="4"/>
  <c r="W5" i="4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AD6" i="4"/>
  <c r="AD7" i="4" s="1"/>
  <c r="AD8" i="4" s="1"/>
  <c r="AD9" i="4" s="1"/>
  <c r="AD10" i="4" s="1"/>
  <c r="AD11" i="4" s="1"/>
  <c r="AD12" i="4" s="1"/>
  <c r="AD13" i="4" s="1"/>
  <c r="AA8" i="4"/>
  <c r="AA9" i="4"/>
  <c r="AA11" i="4"/>
  <c r="AA12" i="4"/>
  <c r="AA13" i="4"/>
  <c r="G50" i="2"/>
  <c r="G47" i="2"/>
  <c r="J7" i="4" s="1"/>
  <c r="AA7" i="4" s="1"/>
  <c r="G22" i="2"/>
  <c r="G91" i="2"/>
  <c r="Q11" i="4" s="1"/>
  <c r="Q14" i="4" s="1"/>
  <c r="AC10" i="4"/>
  <c r="J10" i="4"/>
  <c r="AA10" i="4" s="1"/>
  <c r="AF8" i="4"/>
  <c r="AF14" i="4" s="1"/>
  <c r="AC8" i="4"/>
  <c r="G83" i="2"/>
  <c r="G10" i="3" l="1"/>
  <c r="AH13" i="4"/>
  <c r="J14" i="1" s="1"/>
  <c r="Z5" i="4"/>
  <c r="AA5" i="4" s="1"/>
  <c r="AB5" i="4" s="1"/>
  <c r="AC5" i="4" s="1"/>
  <c r="AD5" i="4" s="1"/>
  <c r="AE5" i="4" s="1"/>
  <c r="AF5" i="4" s="1"/>
  <c r="AG5" i="4" s="1"/>
  <c r="AH5" i="4" s="1"/>
  <c r="G9" i="1"/>
  <c r="H9" i="1" s="1"/>
  <c r="I9" i="1" s="1"/>
  <c r="AH8" i="4"/>
  <c r="J9" i="1" s="1"/>
  <c r="K14" i="1"/>
  <c r="L14" i="1" s="1"/>
  <c r="AA14" i="4"/>
  <c r="J14" i="4"/>
  <c r="AC14" i="4"/>
  <c r="AH11" i="4"/>
  <c r="J12" i="1" s="1"/>
  <c r="AD14" i="4"/>
  <c r="AH9" i="4"/>
  <c r="J10" i="1" s="1"/>
  <c r="G77" i="2"/>
  <c r="N7" i="4" s="1"/>
  <c r="N14" i="4" s="1"/>
  <c r="G71" i="2"/>
  <c r="M6" i="4" s="1"/>
  <c r="M14" i="4" s="1"/>
  <c r="G62" i="2"/>
  <c r="L10" i="4" s="1"/>
  <c r="L14" i="4" s="1"/>
  <c r="G57" i="2"/>
  <c r="G56" i="2"/>
  <c r="G39" i="2"/>
  <c r="I6" i="4"/>
  <c r="G35" i="2"/>
  <c r="G101" i="2"/>
  <c r="G9" i="2"/>
  <c r="G10" i="2" s="1"/>
  <c r="K9" i="1" l="1"/>
  <c r="L9" i="1" s="1"/>
  <c r="G11" i="2"/>
  <c r="G102" i="2"/>
  <c r="G14" i="3" s="1"/>
  <c r="F14" i="3"/>
  <c r="F13" i="3"/>
  <c r="K10" i="1"/>
  <c r="L10" i="1" s="1"/>
  <c r="R7" i="4"/>
  <c r="D8" i="1" s="1"/>
  <c r="E8" i="1" s="1"/>
  <c r="G8" i="1" s="1"/>
  <c r="G6" i="4"/>
  <c r="G17" i="2"/>
  <c r="X6" i="4" s="1"/>
  <c r="G78" i="2"/>
  <c r="AE7" i="4" s="1"/>
  <c r="I11" i="4"/>
  <c r="R11" i="4" s="1"/>
  <c r="D12" i="1" s="1"/>
  <c r="E12" i="1" s="1"/>
  <c r="G41" i="2"/>
  <c r="G42" i="2" s="1"/>
  <c r="G107" i="2"/>
  <c r="C15" i="1"/>
  <c r="I10" i="4" l="1"/>
  <c r="R10" i="4" s="1"/>
  <c r="D11" i="1" s="1"/>
  <c r="E11" i="1" s="1"/>
  <c r="G95" i="2" s="1"/>
  <c r="G96" i="2" s="1"/>
  <c r="G97" i="2" s="1"/>
  <c r="AG10" i="4" s="1"/>
  <c r="G43" i="2"/>
  <c r="G108" i="2"/>
  <c r="F37" i="3"/>
  <c r="F31" i="3" s="1"/>
  <c r="F45" i="3"/>
  <c r="F39" i="3" s="1"/>
  <c r="R6" i="4"/>
  <c r="G14" i="4"/>
  <c r="H12" i="1"/>
  <c r="I12" i="1" s="1"/>
  <c r="K12" i="1" s="1"/>
  <c r="L12" i="1" s="1"/>
  <c r="AH6" i="4"/>
  <c r="X14" i="4"/>
  <c r="AE14" i="4"/>
  <c r="AH7" i="4"/>
  <c r="J8" i="1" s="1"/>
  <c r="G12" i="2"/>
  <c r="H10" i="2"/>
  <c r="F12" i="4" s="1"/>
  <c r="I14" i="4" l="1"/>
  <c r="AG14" i="4"/>
  <c r="AH10" i="4"/>
  <c r="J11" i="1" s="1"/>
  <c r="G45" i="3"/>
  <c r="G47" i="3" s="1"/>
  <c r="K8" i="1"/>
  <c r="L8" i="1" s="1"/>
  <c r="W12" i="4"/>
  <c r="R12" i="4"/>
  <c r="D13" i="1" s="1"/>
  <c r="E13" i="1" s="1"/>
  <c r="F14" i="4"/>
  <c r="J7" i="1"/>
  <c r="D7" i="1"/>
  <c r="H11" i="1"/>
  <c r="I11" i="1" s="1"/>
  <c r="R14" i="4" l="1"/>
  <c r="K11" i="1"/>
  <c r="L11" i="1" s="1"/>
  <c r="H13" i="1"/>
  <c r="I13" i="1" s="1"/>
  <c r="E7" i="1"/>
  <c r="E15" i="1" s="1"/>
  <c r="D15" i="1"/>
  <c r="AH12" i="4"/>
  <c r="W14" i="4"/>
  <c r="F7" i="3" l="1"/>
  <c r="G7" i="1"/>
  <c r="H7" i="1" s="1"/>
  <c r="J13" i="1"/>
  <c r="J15" i="1" s="1"/>
  <c r="AH14" i="4"/>
  <c r="G15" i="1" l="1"/>
  <c r="K13" i="1"/>
  <c r="L13" i="1" s="1"/>
  <c r="I7" i="1"/>
  <c r="K7" i="1" s="1"/>
  <c r="H15" i="1"/>
  <c r="F8" i="3" l="1"/>
  <c r="I15" i="1"/>
  <c r="G8" i="3" l="1"/>
  <c r="G30" i="3" s="1"/>
  <c r="G48" i="3" s="1"/>
  <c r="K15" i="1"/>
  <c r="L15" i="1" s="1"/>
  <c r="L7" i="1"/>
</calcChain>
</file>

<file path=xl/sharedStrings.xml><?xml version="1.0" encoding="utf-8"?>
<sst xmlns="http://schemas.openxmlformats.org/spreadsheetml/2006/main" count="725" uniqueCount="340">
  <si>
    <t>#</t>
  </si>
  <si>
    <t>gvari, saxeli</t>
  </si>
  <si>
    <t>daricxulia xelfasi</t>
  </si>
  <si>
    <t>daricxulia sxva  sargebeli</t>
  </si>
  <si>
    <t>daricxulia saangariSo periodamde</t>
  </si>
  <si>
    <t>dakavebulia winaswar gadaxdili Tanxa</t>
  </si>
  <si>
    <t>ხელფასის დარიცხვის უწყისი N 2</t>
  </si>
  <si>
    <t>დაგროვილი ქულა</t>
  </si>
  <si>
    <t>შემოსავალი</t>
  </si>
  <si>
    <t>გადასახადი და გაკავება</t>
  </si>
  <si>
    <t>სულ</t>
  </si>
  <si>
    <t>ჯამი</t>
  </si>
  <si>
    <t>თ. ჟღენტი</t>
  </si>
  <si>
    <t>ზ. ბუჩუკური</t>
  </si>
  <si>
    <t>სარგებელი</t>
  </si>
  <si>
    <t>ლ. ნანსყანი</t>
  </si>
  <si>
    <t>ი. დვალი</t>
  </si>
  <si>
    <t>ე. ლომიძე</t>
  </si>
  <si>
    <t>კ. გოგავა</t>
  </si>
  <si>
    <t>შენიშვნა:</t>
  </si>
  <si>
    <t>გაანგარიშება</t>
  </si>
  <si>
    <t>მაჩვენებელი</t>
  </si>
  <si>
    <t>სწორი პასუხი</t>
  </si>
  <si>
    <t>შეფასება</t>
  </si>
  <si>
    <t>საშემოსავლო გადასახადი</t>
  </si>
  <si>
    <t>მივლინების ფაქტიური ხარჯი</t>
  </si>
  <si>
    <t>რეზიდენტ ფიზიკური პირი</t>
  </si>
  <si>
    <t>რეზიდენტ იურიდიული პირი</t>
  </si>
  <si>
    <t>არარეზიდენტ იურიდიული პირი (ლიბანი)</t>
  </si>
  <si>
    <t>არარეზიდენტი ფიზიკური პირი (პანამა)</t>
  </si>
  <si>
    <r>
      <t xml:space="preserve">ამოცანა N 1.   </t>
    </r>
    <r>
      <rPr>
        <b/>
        <u/>
        <sz val="10"/>
        <color rgb="FF008080"/>
        <rFont val="Sylfaen"/>
        <family val="1"/>
      </rPr>
      <t>გადახდის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წყაროსთან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დაკავებული</t>
    </r>
    <r>
      <rPr>
        <b/>
        <u/>
        <sz val="10"/>
        <color rgb="FF008080"/>
        <rFont val="LitMtavrPS"/>
      </rPr>
      <t xml:space="preserve"> </t>
    </r>
    <r>
      <rPr>
        <b/>
        <u/>
        <sz val="10"/>
        <color rgb="FF008080"/>
        <rFont val="Sylfaen"/>
        <family val="1"/>
      </rPr>
      <t>გადასახადის  დეკლარაცია</t>
    </r>
    <r>
      <rPr>
        <b/>
        <u/>
        <sz val="10"/>
        <color rgb="FF008080"/>
        <rFont val="LitMtavrPS"/>
      </rPr>
      <t xml:space="preserve"> </t>
    </r>
  </si>
  <si>
    <t xml:space="preserve"> </t>
  </si>
  <si>
    <r>
      <t xml:space="preserve">nawili III </t>
    </r>
    <r>
      <rPr>
        <u/>
        <sz val="9"/>
        <color rgb="FF008080"/>
        <rFont val="LitNusx"/>
      </rPr>
      <t>(adaptirebulia gamocdisTvis)</t>
    </r>
    <r>
      <rPr>
        <b/>
        <u/>
        <sz val="9"/>
        <color rgb="FF008080"/>
        <rFont val="Calibri"/>
        <family val="2"/>
        <scheme val="minor"/>
      </rPr>
      <t xml:space="preserve"> </t>
    </r>
  </si>
  <si>
    <t>ganacemis</t>
  </si>
  <si>
    <t xml:space="preserve">sul biujetSi gadasaxdeli wyarosTan dakavebuli gadasaxadebis jami (str.39 + str.56) </t>
  </si>
  <si>
    <t xml:space="preserve">gadasaxadis gadamxdelis mowmobis armqone fizikur pirebze gadaxdis wyarosTan dabegvras დაქვემდებარებული განაცემი (გარდა პროცენტისა) </t>
  </si>
  <si>
    <t>`d~ qvepunqtis (navTobi da gazi...) mixedviT (4%-iani) განაკვეთით</t>
  </si>
  <si>
    <t>`e~ qvepunqtis (sxvadasxva) mixedviT (105-იანი განაკვეთით</t>
  </si>
  <si>
    <t>`e~ qvepunqtis (sxvadasxva) mixedviT( 10-%-იანი განაკვეთით)</t>
  </si>
  <si>
    <t xml:space="preserve"> organizaciebze და საქართველოში მუდმივი დაწესებულების აrმქონე არარეზიდენტ საწარმოsaTvis dakavebuli biujetSi gadasaxdeli gadasaxadi (49-e - 55-e ujrebSi asaxuli Tanxebis  Sesabamis sagadasaxado ganakveTebze namravlis jami) </t>
  </si>
  <si>
    <t>fizikur pirTa ricxovnoba, romlebzec gacemulia me-16 ujraSi asaxuli Tanxa</t>
  </si>
  <si>
    <t>საკონტროლო სალარო აპარატების საშუალებებით</t>
  </si>
  <si>
    <t>10000*5%=500</t>
  </si>
  <si>
    <t>30000*5%=1500</t>
  </si>
  <si>
    <t>Y</t>
  </si>
  <si>
    <t>3000*20%=600</t>
  </si>
  <si>
    <t>თითოეული დაქირავებული პირის შემოსავლისა და დაკავებული თანხების (ხელზე გაცემის)  სწორი ქულა ფასდება 0.5 ქულით. ჯამში 7 ქულა</t>
  </si>
  <si>
    <t>დანამატი</t>
  </si>
  <si>
    <t>პრემია</t>
  </si>
  <si>
    <t>დაკავება</t>
  </si>
  <si>
    <t>ზეგანაკვეთური სამუშაო</t>
  </si>
  <si>
    <t>ძირითადი თანხა 2000</t>
  </si>
  <si>
    <t>სულ სარგებელი</t>
  </si>
  <si>
    <t>ბრძანება #34</t>
  </si>
  <si>
    <t>1.4. უპროცენტო სესხის მიღებით  მიღებული ყოველთვიური სარგებელი (თ.ჟღენტი)</t>
  </si>
  <si>
    <t>უპროცენტო სესხი</t>
  </si>
  <si>
    <t>საჩუქარი (ბრელოკი</t>
  </si>
  <si>
    <t>მივლინების ნორმატიული ხარჯი</t>
  </si>
  <si>
    <t>მივლინება</t>
  </si>
  <si>
    <t>ვალის  პატიება</t>
  </si>
  <si>
    <t>სხვა შემოსავალი (სარგებელი)</t>
  </si>
  <si>
    <t>1.5. საჩუქარი (ყველა თანამშრომელზე)</t>
  </si>
  <si>
    <t>საჩუქარი 10</t>
  </si>
  <si>
    <t>სარგებელი €</t>
  </si>
  <si>
    <t>სარგებელი ლარი</t>
  </si>
  <si>
    <t>კომპლექსური სადილი</t>
  </si>
  <si>
    <t>სადაზღვევო შენატანი</t>
  </si>
  <si>
    <t>დაკავებულია ე.ლომიძის ხელფასიდან</t>
  </si>
  <si>
    <t>1.11 სწავლის ღირებულება (ე.ლომიძე)</t>
  </si>
  <si>
    <t>დაკავებულია გადარიცხული თანხა ხელფასიდან</t>
  </si>
  <si>
    <t>სწავლის ღირებულება</t>
  </si>
  <si>
    <t>სწავლის ღირებულება 200/0,8=250</t>
  </si>
  <si>
    <t>ნ. შადური</t>
  </si>
  <si>
    <t>1.12 სწავლის ღირებულება (მ. შადური)</t>
  </si>
  <si>
    <t>დასვენების ტური</t>
  </si>
  <si>
    <t>1.13 დასვენების ტური (ყველა თანამშრომელი)</t>
  </si>
  <si>
    <t>დაკავებულია  ხელფასიდან</t>
  </si>
  <si>
    <t>თებერვლის სესხი</t>
  </si>
  <si>
    <t>უპროცენტო  და დაბალპროცენტიანი სესხი</t>
  </si>
  <si>
    <t>თებერვლის პროცენტის  სარგებელი 10000*(20%-12%)/365*15 დღე=32,88</t>
  </si>
  <si>
    <t>1.15 საცხოვრებელი ფართის სარგებლობაში გადაცემა ( ნ.შადური)</t>
  </si>
  <si>
    <t>საცხოვრებელი ფართის გადაცემა</t>
  </si>
  <si>
    <t>თ. ჩადუნელი</t>
  </si>
  <si>
    <t>1.16 შვებულება ბავშვის აყვანის გამო (თ. ჩადუნელი)</t>
  </si>
  <si>
    <t>1.17 ავანსად ხელფასის გაცემა (თ. დვალი)</t>
  </si>
  <si>
    <t>ავანსი</t>
  </si>
  <si>
    <t>ალიმენტი</t>
  </si>
  <si>
    <t>დასაკავებელია დარიცხული თანხიდან</t>
  </si>
  <si>
    <t>თ.ჟღენტი, ი.დვალი, თ ჩადუნელი</t>
  </si>
  <si>
    <t>ე.ლომიძე *5=30</t>
  </si>
  <si>
    <t>ზ. ბუჩუკური, ნ ხადური, კ.გოგავა,  ლ. ნანსყანი 20*5*4=100</t>
  </si>
  <si>
    <t xml:space="preserve"> დაკავება</t>
  </si>
  <si>
    <t>თ.ჟღენტი, ი.დვალი, თ. ჩადუნელი</t>
  </si>
  <si>
    <t>2 დღის სარგებელი 100*0,8*2=250</t>
  </si>
  <si>
    <t>დაკავებულია დარიცხული თანხიდან</t>
  </si>
  <si>
    <t>შვებულება შვილს აყვანის გამო</t>
  </si>
  <si>
    <t>1700*3/,08=5100</t>
  </si>
  <si>
    <t>1.18 ალიმენტის დაკავება ე.ლომიძე</t>
  </si>
  <si>
    <t>სესხის თებერვლის პროცენტი</t>
  </si>
  <si>
    <t>ა.ა.ი.პ</t>
  </si>
  <si>
    <t>20000*5%=1000</t>
  </si>
  <si>
    <t>2.1  დევიდენდის განაწილება და დაბეგვრა</t>
  </si>
  <si>
    <t>30000*15%=1500</t>
  </si>
  <si>
    <t>არარეზიდენტი ფიზიკური პირი (ავსტრია)</t>
  </si>
  <si>
    <t>არარეზიდენტი ფიზიკური პირი (ლიბანი-შეღავათიანი დაბეგვრის ქვეყანა)</t>
  </si>
  <si>
    <t>არარეზიდენტი იურიდიული პირი (რუსეთი)</t>
  </si>
  <si>
    <t>15000*0%=0</t>
  </si>
  <si>
    <t>12000*5%=600</t>
  </si>
  <si>
    <t>ს/ს "ასფარმა"-ს მუდმივი დაწესებულება საქართველოში</t>
  </si>
  <si>
    <t>ს/ს საქართველოს ბანკი</t>
  </si>
  <si>
    <t>მოგების/საშემოსავლო გადასახადი</t>
  </si>
  <si>
    <t>3500*0%=0</t>
  </si>
  <si>
    <t>1000*0%=0</t>
  </si>
  <si>
    <t>მიკროსაფინანსო ორგანიზაცია "ცენტრალი"</t>
  </si>
  <si>
    <t>ჩიორა მხეიძე 10000*12%/12*6=600</t>
  </si>
  <si>
    <t>600*5%=30</t>
  </si>
  <si>
    <t>2.2  პროცენტის გადარიცხვა და დაბეგვრა</t>
  </si>
  <si>
    <t>საქართველოს იურიდიული პირი</t>
  </si>
  <si>
    <t>5500*0%=0</t>
  </si>
  <si>
    <t>არარეგისტრირებული საქართველოს მოქალაქე</t>
  </si>
  <si>
    <t>1000*20%=200</t>
  </si>
  <si>
    <t>/საშემოსავლო გადასახადი</t>
  </si>
  <si>
    <t>5000*0%=0</t>
  </si>
  <si>
    <t>არარეზიდენტი ფიზიკური პირი (იტალია)</t>
  </si>
  <si>
    <t>2.3  როიალტის გადარიცხვა და დაბეგვრა</t>
  </si>
  <si>
    <t>2.4 საერთაშორისო გადაზიდვა (ჯონ მარიუსი) შეღავათიანი დაბეგვრის ქვეყანა</t>
  </si>
  <si>
    <t>ჯონ მარიუსი 5000</t>
  </si>
  <si>
    <t>5000*10%=500</t>
  </si>
  <si>
    <t>0*10%=0</t>
  </si>
  <si>
    <t>საკონსულტაციო მომსახურება</t>
  </si>
  <si>
    <t>15000*5%*0%=0</t>
  </si>
  <si>
    <t>8500*4%=850</t>
  </si>
  <si>
    <t>2.5 საერთაშორისო გადაზიდვა (UST LTD) შეღავათიანი დაბეგვრის ქვეყანა</t>
  </si>
  <si>
    <t xml:space="preserve">2.6 საკონსულტაციო  მომსახურების ანაზღაურება-(საფრანგეთის ფირმა"ფრანსუა მორენო") "ნავთობისა და გაზის შესახებ კანონით-4%
</t>
  </si>
  <si>
    <t>2.7  პროცენტის გადარიცხვა და დაბეგვრა (უნგრეთის ფირმა "ბოლერო")</t>
  </si>
  <si>
    <t>ფირმა "ბოლერო"</t>
  </si>
  <si>
    <t>2.8 საერთაშორისო გადაზიდვა (ფირმა"ყარფუზ პროჟექტს")</t>
  </si>
  <si>
    <t>2.9 ტრენინგის მომსახურება (ფირმა "ერნესტო კამარონე")</t>
  </si>
  <si>
    <t>10000*5%=1000</t>
  </si>
  <si>
    <t>1500*20%=300</t>
  </si>
  <si>
    <t>0*20%=0</t>
  </si>
  <si>
    <t>500*0%*20%=0</t>
  </si>
  <si>
    <t>იბეგრება მოგების გადასახადით</t>
  </si>
  <si>
    <t>1875*20%=600</t>
  </si>
  <si>
    <t>2.10 ფიზიკური პირების მომსახურება (პირები არ არიან საპენსიო სქემის მონაწილეები)</t>
  </si>
  <si>
    <t>2.11 ფიზიკური პირების მომსახურება (პირები  არიან საპენსიო სქემის მონაწილეები)</t>
  </si>
  <si>
    <t>1913,27*2%=38,27</t>
  </si>
  <si>
    <t xml:space="preserve"> 892,86*2%=1786</t>
  </si>
  <si>
    <t>ანარიცხი საპენსიო ფონდში</t>
  </si>
  <si>
    <t>2933,67*2%=58,67</t>
  </si>
  <si>
    <t>(892,86-17,86)*20%=175</t>
  </si>
  <si>
    <t>(2933,67-58,67)*20%=575</t>
  </si>
  <si>
    <t>500*0%=0</t>
  </si>
  <si>
    <t>1700*20%340</t>
  </si>
  <si>
    <t>1250*20%=250</t>
  </si>
  <si>
    <t>მ.სანაკოევი 700+250=950</t>
  </si>
  <si>
    <t xml:space="preserve">2.13 უსასყიდლოდ ქონების გადაცემა </t>
  </si>
  <si>
    <t>2075*20%=415</t>
  </si>
  <si>
    <t>2.14  ზიანის ანაზღაურება</t>
  </si>
  <si>
    <t>ამოცანა #1</t>
  </si>
  <si>
    <t>ყურადღება: შეფასებას ექვემდებარება "სწორი პასუხი"-ს სვეტში მითითებული თანხა</t>
  </si>
  <si>
    <t>1.14 შუა თვეში სესხის გაცემა (ზ.ბუჩუკური)</t>
  </si>
  <si>
    <t>საშემოსავლო ადასახადი</t>
  </si>
  <si>
    <t>არარეზიდენტი ფიზიკური პირი (აშშ-ის ვირჯინიის კუნძულები-შეღავათიანი დაბეგვრის ქვეყანა)</t>
  </si>
  <si>
    <t xml:space="preserve"> თებერვლის დასაბეგრი სარგებელი 0. თანხა გადარიცხულია 15 მარტს</t>
  </si>
  <si>
    <t>202X წლის  თებერვალი</t>
  </si>
  <si>
    <t>ზ. ბუჩუკური, ნ ხადური, კ.გოგავა,  ლ. ნანსყანი 20*5=100</t>
  </si>
  <si>
    <t>ე.ლომიძე 6*5=30</t>
  </si>
  <si>
    <t>1.10 სადაზღვევო შენატანი (კ. გოგავა)</t>
  </si>
  <si>
    <t>საწარმოს გადასახადი 60/0,8=75</t>
  </si>
  <si>
    <t>დაკავებულია მ.შადურის ხელფასიდან</t>
  </si>
  <si>
    <t>იჯარის ღირებულება 1500</t>
  </si>
  <si>
    <t>ხელფასის დარიცხვის უწყისი მე-5 სვეტის ჯამი</t>
  </si>
  <si>
    <t xml:space="preserve">ხელფასის დარიცხვის უწყისი მე-8 და მე-9 სვეტების ჯამი </t>
  </si>
  <si>
    <t>სამუშაო რვეული 2.1</t>
  </si>
  <si>
    <t>სამუშაო რვეული 2.2</t>
  </si>
  <si>
    <t>უჯრა 22,23 სვეტი 3</t>
  </si>
  <si>
    <t>უჯრა 23 სვეტი 4</t>
  </si>
  <si>
    <t>სსკ. 130.2</t>
  </si>
  <si>
    <t>სსკ. 134.2.1.ა უჯრა 23 სვეტი 4</t>
  </si>
  <si>
    <t>სსკ. 134.2.1.ა. უჯრა 46, 54 სვეტი 3</t>
  </si>
  <si>
    <t>სსკ. 130.1. უჯრა 46, 54 სვეტი 4</t>
  </si>
  <si>
    <t>სსკ. 130.1. უჯრა 46, 54 სვეტი 3</t>
  </si>
  <si>
    <t>სსკ. 131.1</t>
  </si>
  <si>
    <t xml:space="preserve">სსკ. 131.1 </t>
  </si>
  <si>
    <t xml:space="preserve">შეთანხმება ორმაგი დაბეგვრის შესახებ, ბრძ. 633 </t>
  </si>
  <si>
    <t>არ იბეგრება</t>
  </si>
  <si>
    <t xml:space="preserve">არ იბეგრება სსკ. 131.1 </t>
  </si>
  <si>
    <t>სსკ. 132.1 უჯრა 18.3</t>
  </si>
  <si>
    <t>სსკ. 132.1 უჯრა 18.4</t>
  </si>
  <si>
    <t xml:space="preserve"> 11 nawilis (15%iani ganakveTiT) </t>
  </si>
  <si>
    <t>`e~ qvepunqtis (sxvadasxva) mixedviT (10%-იანი განაკვეთით</t>
  </si>
  <si>
    <t>სამუშაო რვეული 2.3</t>
  </si>
  <si>
    <t>20000*5%*0=0</t>
  </si>
  <si>
    <t>სსკ. 134.1,1 უჯრა 32.3,38.3</t>
  </si>
  <si>
    <t>სსკ. 134.1.ბ.1 უჯრა , 49.4</t>
  </si>
  <si>
    <t xml:space="preserve">სსკ. 134.1.ბ.1 უჯრა 49,3 </t>
  </si>
  <si>
    <t xml:space="preserve">სსკ. 134.1.ბ.1 უჯრა 32.4,38.4 </t>
  </si>
  <si>
    <t>სსკ. 134.1.ბ.1 უჯრა 32.3,38.3  შეთანხმება ორმაგი დაბეგვრის  შესახებ, ბრძ.633</t>
  </si>
  <si>
    <r>
      <t>ბ</t>
    </r>
    <r>
      <rPr>
        <vertAlign val="superscript"/>
        <sz val="9"/>
        <color rgb="FF222222"/>
        <rFont val="BPG Arial"/>
      </rPr>
      <t>1</t>
    </r>
    <r>
      <rPr>
        <sz val="9"/>
        <color rgb="FF222222"/>
        <rFont val="BPG Arial"/>
      </rPr>
      <t>“ ქვეპუნქტით (განაკვეთი 5%) როიალტი</t>
    </r>
  </si>
  <si>
    <t>„ დ” ქვეპუნქტით ( განაკვეთი 4%) "ნავთობისა და გაზის შესახებ კანონი"</t>
  </si>
  <si>
    <t>„ ე” ქვეპუნქტით ( განაკვეთი 10%). სხვა თანხები</t>
  </si>
  <si>
    <t>„ გ” ქვეპუნქტით ( განაკვეთი 10%) (კავშირგაბმულობა, საერთაშორისო გადაზიდვა)</t>
  </si>
  <si>
    <t>სამუშაო რვეული 2.4, 2,5</t>
  </si>
  <si>
    <t xml:space="preserve">სსკ. 134.1.გ  უჯრა 42,3 50,3 </t>
  </si>
  <si>
    <t>სსკ. 134.1.გ  უჯრა 42,4 50,4</t>
  </si>
  <si>
    <r>
      <t>odenoba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</si>
  <si>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 gadasaxadis </t>
    </r>
    <r>
      <rPr>
        <sz val="11"/>
        <color rgb="FF008080"/>
        <rFont val="Calibri"/>
        <family val="2"/>
        <scheme val="minor"/>
      </rPr>
      <t xml:space="preserve"> </t>
    </r>
    <r>
      <rPr>
        <sz val="9"/>
        <color rgb="FF008080"/>
        <rFont val="LitNusx"/>
      </rPr>
      <t>Tanxa</t>
    </r>
    <r>
      <rPr>
        <sz val="11"/>
        <color rgb="FF008080"/>
        <rFont val="Calibri"/>
        <family val="2"/>
        <scheme val="minor"/>
      </rPr>
      <t xml:space="preserve"> </t>
    </r>
  </si>
  <si>
    <r>
      <t>daqiravebiT momuSave fizikur pirebze xelfasis/sargeblis (fuladi, naturaluri) saxiT gacemuli anazRaureba, maT Soris:</t>
    </r>
    <r>
      <rPr>
        <sz val="11"/>
        <color rgb="FF008080"/>
        <rFont val="Calibri"/>
        <family val="2"/>
        <scheme val="minor"/>
      </rPr>
      <t xml:space="preserve"> </t>
    </r>
  </si>
  <si>
    <r>
      <t>eqvemdebareba gadaxdis wyarosTan dabegvras (SeRavaTebis gamoklebiT)</t>
    </r>
    <r>
      <rPr>
        <sz val="11"/>
        <color rgb="FF008080"/>
        <rFont val="Calibri"/>
        <family val="2"/>
        <scheme val="minor"/>
      </rPr>
      <t xml:space="preserve"> </t>
    </r>
  </si>
  <si>
    <r>
      <t>rezidenti fizikuri pirebisTvis gadaxdili roialti</t>
    </r>
    <r>
      <rPr>
        <sz val="11"/>
        <color rgb="FF008080"/>
        <rFont val="Calibri"/>
        <family val="2"/>
        <scheme val="minor"/>
      </rPr>
      <t xml:space="preserve"> </t>
    </r>
  </si>
  <si>
    <r>
      <t>romelic ibegreba 20%-iT</t>
    </r>
    <r>
      <rPr>
        <sz val="11"/>
        <color rgb="FF008080"/>
        <rFont val="Calibri"/>
        <family val="2"/>
        <scheme val="minor"/>
      </rPr>
      <t xml:space="preserve"> </t>
    </r>
  </si>
  <si>
    <r>
      <t>romelic ibegreba 5%-iT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</si>
  <si>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fizikur pirebze gacemuli dividendebi, maT Soris: 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</si>
  <si>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fizikur pirebze gacemuli procentebi, maT Soris: </t>
    </r>
    <r>
      <rPr>
        <sz val="11"/>
        <color rgb="FF008080"/>
        <rFont val="Calibri"/>
        <family val="2"/>
        <scheme val="minor"/>
      </rPr>
      <t xml:space="preserve"> </t>
    </r>
  </si>
  <si>
    <r>
      <t>turistuli sawarmos mier sastumros aqtivebis/maTi nawilis mesakuTre fizikur pirze Sesabamisi xelSekrulebis safuZvelze gacemuli anazRaureba</t>
    </r>
    <r>
      <rPr>
        <sz val="9"/>
        <color rgb="FF008080"/>
        <rFont val="Calibri"/>
        <family val="2"/>
        <scheme val="minor"/>
      </rPr>
      <t xml:space="preserve"> </t>
    </r>
  </si>
  <si>
    <r>
      <t>mudmivi dawesebulebis armqone ararezident fizikur pirebze gaweuli momsaxurebisaTvis gacemuli anazRaureba, romelic eqvemdebareba gadaxdis wyarosTan dabegvras (garda procentebisa da dividendisa).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</si>
  <si>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`b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>~ qvepunqtis (roialti) mixedviT (5%-iani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</si>
  <si>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`g~ qvepunqtis (kavSirgabmuloba...) mixedviT (10%-iani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</si>
  <si>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`d~ qvepunqtis (navTobi da gazi...) mixedviT (4%-iani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</si>
  <si>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 xml:space="preserve"> 1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 xml:space="preserve"> nawilis (15%iani ganakveTiT) </t>
    </r>
  </si>
  <si>
    <r>
      <t>mudmivi dawesebulebis armqone ararezident fizikur pirebze gaweuli momsaxurebisaTvis gacemuli anazRaureba (SeRavaTebis gamoklebiT), romelic eqvemdebareba gadaxdis wyarosTan dabegvras (garda procentebisa da dividendisa).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</si>
  <si>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`b</t>
    </r>
    <r>
      <rPr>
        <vertAlign val="superscript"/>
        <sz val="11"/>
        <color rgb="FF008080"/>
        <rFont val="LitNusx"/>
      </rPr>
      <t>1</t>
    </r>
    <r>
      <rPr>
        <sz val="11"/>
        <color rgb="FF008080"/>
        <rFont val="LitNusx"/>
      </rPr>
      <t>~ qvepunqtis (roialti) mixedviT (5%-iani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</si>
  <si>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`g~ qvepunqtis (kavSirgabmuloba, საერთაშორისო გადაზიდვა...) mixedviT (10%-iani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</si>
  <si>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biujetSi gadasaxdeli wyarosTan dakavebuli saSemosavlo gadasaxadi (17,18,19,20,21,23,25,26,34-38  ujrebSi asaxuli Tanxebis Sesabamis sagadasaxado ganakveTebze namravlis jami)</t>
    </r>
    <r>
      <rPr>
        <sz val="9"/>
        <color rgb="FF008080"/>
        <rFont val="Calibri"/>
        <family val="2"/>
        <scheme val="minor"/>
      </rPr>
      <t xml:space="preserve"> </t>
    </r>
  </si>
  <si>
    <r>
      <t xml:space="preserve"> organizaciebze და საქართველოში მუდმივი დაწესებულების აქმქონე არარეზიდენტ საწარმოებზე  gadaxdis wyarosTan dabegvras daqvemdebarebuli ganacemebi. maT Soris: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</si>
  <si>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`g~ qvepunqtis (kavSirgabmulobა, საერთაშორისო გადაზიდვა..) mixedviT (10%-iani ganakveTiT)</t>
    </r>
    <r>
      <rPr>
        <sz val="9"/>
        <color rgb="FF008080"/>
        <rFont val="Calibri"/>
        <family val="2"/>
        <scheme val="minor"/>
      </rPr>
      <t xml:space="preserve"> </t>
    </r>
  </si>
  <si>
    <r>
      <t>1</t>
    </r>
    <r>
      <rPr>
        <vertAlign val="superscript"/>
        <sz val="9"/>
        <color rgb="FF008080"/>
        <rFont val="LitNusx"/>
      </rPr>
      <t>1</t>
    </r>
    <r>
      <rPr>
        <sz val="9"/>
        <color rgb="FF008080"/>
        <rFont val="LitNusx"/>
      </rPr>
      <t xml:space="preserve"> nawilis (15%iani ganakveTiT) </t>
    </r>
  </si>
  <si>
    <r>
      <t>b) dividendebi (ganakveTi - 5%)</t>
    </r>
    <r>
      <rPr>
        <sz val="11"/>
        <color rgb="FF008080"/>
        <rFont val="Calibri"/>
        <family val="2"/>
        <scheme val="minor"/>
      </rPr>
      <t xml:space="preserve"> </t>
    </r>
  </si>
  <si>
    <r>
      <t>g) procentebi (ganakveTi - 5%)</t>
    </r>
    <r>
      <rPr>
        <sz val="11"/>
        <color rgb="FF008080"/>
        <rFont val="Calibri"/>
        <family val="2"/>
        <scheme val="minor"/>
      </rPr>
      <t xml:space="preserve"> </t>
    </r>
  </si>
  <si>
    <r>
      <t xml:space="preserve"> organizaciebze და საქართველოში მუდმივი დაწესებულების აქმქონე არარეზიდენტ საწარმოებზე  gadaxdis wyarosTan dabegvras daqvemdebarebuli ganacemebi (SeRavaTebis gamoklebiT), maT Soris, ganacemi ssk 134-e muxlis pirveli nawilis:</t>
    </r>
    <r>
      <rPr>
        <b/>
        <sz val="9"/>
        <color rgb="FF008080"/>
        <rFont val="Calibri"/>
        <family val="2"/>
        <scheme val="minor"/>
      </rPr>
      <t xml:space="preserve"> </t>
    </r>
  </si>
  <si>
    <r>
      <t>(roialti, sxvadasxva) mixedviT (15%iani ganakveTiT)</t>
    </r>
    <r>
      <rPr>
        <sz val="11"/>
        <color rgb="FF008080"/>
        <rFont val="Calibri"/>
        <family val="2"/>
        <scheme val="minor"/>
      </rPr>
      <t xml:space="preserve"> </t>
    </r>
  </si>
  <si>
    <r>
      <t>informaciisTvis</t>
    </r>
    <r>
      <rPr>
        <b/>
        <sz val="12"/>
        <color rgb="FF008080"/>
        <rFont val="Sylfaen"/>
        <family val="1"/>
      </rPr>
      <t xml:space="preserve"> </t>
    </r>
  </si>
  <si>
    <r>
      <t>aradaqiravebul fizikur pirebze gacemuli Tanxebi, romelic ar ukavSirdeba momsaxurebis anazRaurebas da amasTan, eqvemdebareba gadaxdis wyarosTan gadasaxadis dakavebas (garda dividendebisa da anabrebze gacemuli procentebisa)</t>
    </r>
    <r>
      <rPr>
        <sz val="9"/>
        <color rgb="FF008080"/>
        <rFont val="Calibri"/>
        <family val="2"/>
        <scheme val="minor"/>
      </rPr>
      <t xml:space="preserve"> </t>
    </r>
  </si>
  <si>
    <t xml:space="preserve">სსკ. 134.1.დ  უჯრა 43,3 51,3 </t>
  </si>
  <si>
    <t>სსკ. 134.1.დ  უჯრა 43,4 51,4</t>
  </si>
  <si>
    <t>სამუშაო რვეული 2.6</t>
  </si>
  <si>
    <t>სამუშაო რვეული 2.2, 2,5</t>
  </si>
  <si>
    <t>სსკ. 131.1 უჯრა 47, 55</t>
  </si>
  <si>
    <t>არ არის ამ თვის დაბეგვრის ობიექტი</t>
  </si>
  <si>
    <t>სამუშაო რვეული 2.9</t>
  </si>
  <si>
    <t>სსკ. 134.1.ე  უჯრა  52.3, 52,4</t>
  </si>
  <si>
    <t xml:space="preserve">სსკ. 134.1.ე  უჯრა 44,3  52,3 </t>
  </si>
  <si>
    <t>სამუშაო რვეული 2.10</t>
  </si>
  <si>
    <t>სსკ. 81.2.ე  უჯრა 20.4</t>
  </si>
  <si>
    <t xml:space="preserve">სსკ. 81.2.  უჯრა 20.3 </t>
  </si>
  <si>
    <t xml:space="preserve">სსკ. 81.1  უჯრა 19.3 </t>
  </si>
  <si>
    <t>სსკ. 81.1  უჯრა 19.4</t>
  </si>
  <si>
    <t>(1913,27-38,27)*20%=375</t>
  </si>
  <si>
    <t xml:space="preserve">2.12 უსასყიდლოდ თანხის გაცემა </t>
  </si>
  <si>
    <t>სამუშაო რვეული 2.12, 2,13</t>
  </si>
  <si>
    <t>სსკ. 154.1.მ  უჯრა 21.4</t>
  </si>
  <si>
    <t>სსკ. 154.1.მ  უჯრა 21.3</t>
  </si>
  <si>
    <t>სსკ. 154.1.მ, უჯრა 62.3 იბეგრება მოგების გადასახადით</t>
  </si>
  <si>
    <t xml:space="preserve">დამხმარე ცხრილი სხვა შემოსავლების და დასაკავებელი  წინასწარ გაცემული თანხების გაანგარიშებისთვის </t>
  </si>
  <si>
    <t>სსკ.101.2.ზ</t>
  </si>
  <si>
    <t>სსკ.101.2.ბ</t>
  </si>
  <si>
    <t>სსკ.101.2.ი</t>
  </si>
  <si>
    <t>ბრძანება #220</t>
  </si>
  <si>
    <t>სსკ.101.2.გ</t>
  </si>
  <si>
    <t>სსკ.101.2.ვ</t>
  </si>
  <si>
    <t>სსკ.101.2.ე</t>
  </si>
  <si>
    <t>სსკ.101.2.თ</t>
  </si>
  <si>
    <t>სსკ.101.2.დ</t>
  </si>
  <si>
    <t>სსკ.101.2.ი, 82.2ა.დ</t>
  </si>
  <si>
    <t>სსკ. 130</t>
  </si>
  <si>
    <t>სსკ. 131</t>
  </si>
  <si>
    <t>სსკ. 134.1.1 უჯრა 38.4</t>
  </si>
  <si>
    <t>25000*5%*0=1500</t>
  </si>
  <si>
    <t>სსკ. 131.1 ,134.1.1 უჯრა 32.3, 38,.3</t>
  </si>
  <si>
    <t>4000*15%=600</t>
  </si>
  <si>
    <t>სსკ. 134.1.1 უჯრა ,38.4</t>
  </si>
  <si>
    <t>სსკ. 101</t>
  </si>
  <si>
    <t>16667*10%=1666,67</t>
  </si>
  <si>
    <t>15000/0,9=16667</t>
  </si>
  <si>
    <t>10000/0,9=11111,11</t>
  </si>
  <si>
    <t>11111,11*10%=1111.11</t>
  </si>
  <si>
    <t>მგზავრობა -1180 € სასტუმროს ხარჯი- 127*9= 1143 € სადღეღამისო ხარჯი 34*10=340 €</t>
  </si>
  <si>
    <t>ზენორმატიული ხარჯი 4364-2663=1701 €</t>
  </si>
  <si>
    <t>ზენორმატიული ხარჯი დაბრუნებული თანხის გათვალისწინებით 5953,50-5000= 953,50</t>
  </si>
  <si>
    <t>სსკ.132.1 არ იბეგრება საშემოსავლო გადასახადით</t>
  </si>
  <si>
    <t>=</t>
  </si>
  <si>
    <t>ყოველთვიური სარგებელი  100000*20%/0,8/12*1=2083,33</t>
  </si>
  <si>
    <t>შემოსავალი სულ 4973,5</t>
  </si>
  <si>
    <t>საშემოსავლო გადასახადი 4973,5*,08=994,70</t>
  </si>
  <si>
    <t>დაკავებული ალიმენტი (4973,50-994,7)*1/4=994,70</t>
  </si>
  <si>
    <t>წინასწარ გაცემული თანხების დაკავება</t>
  </si>
  <si>
    <t>სამუშაო რვეული 2.2, 2.7</t>
  </si>
  <si>
    <t>შეღავათის თანხა</t>
  </si>
  <si>
    <t>საშემოსავლო გადასახადი 2000+33.33= 2433.33  2433.33/0,8*20%=508.33</t>
  </si>
  <si>
    <t>ზენორმატიული ხარჯი ლარი 1701*3,5</t>
  </si>
  <si>
    <t>ხარჯის ანაზღაურება</t>
  </si>
  <si>
    <t>ნორმატიული ხარჯის ანაზღაურება (1700-1500)=200 არ იბეგრება</t>
  </si>
  <si>
    <t>(1775-1670)/0.8=131.25</t>
  </si>
  <si>
    <t>შეიცვალა განაკვეთი ბრძანება #336</t>
  </si>
  <si>
    <t xml:space="preserve">naRdi angariSsworebiT ganxorcielebuli brunva. maT Soris: </t>
  </si>
  <si>
    <t>ანგარიშვალდებული პირების მიერ გადასახადის გადამხდელის საბანკო ანგარიშ(ებ)ზე ან/და სალაროში დაუბრუნებელი თანხები საანგარიშო თვის ბოლოსთვის</t>
  </si>
  <si>
    <t>68-ე უჯრაში გათვალისწინებულ ანგარიშვალდებულ პირთა რაოდენობა</t>
  </si>
  <si>
    <r>
      <t>miwodebuli saqonlis/gaweuli momsaxurebis Rirebuleba</t>
    </r>
    <r>
      <rPr>
        <sz val="11"/>
        <color rgb="FF0070C0"/>
        <rFont val="Calibri"/>
        <family val="2"/>
        <scheme val="minor"/>
      </rPr>
      <t xml:space="preserve"> </t>
    </r>
  </si>
  <si>
    <r>
      <t>sameurneo operaciis ganxorcielebasTan dakavSirebuli xarji</t>
    </r>
    <r>
      <rPr>
        <sz val="11"/>
        <color rgb="FF0070C0"/>
        <rFont val="Calibri"/>
        <family val="2"/>
        <scheme val="minor"/>
      </rPr>
      <t xml:space="preserve"> </t>
    </r>
  </si>
  <si>
    <r>
      <t>sagadasaxado organos mier inventarizaciis Sedegad gamovlenili sasaqonlomaterialuri faseulobis danaklisis odenoba</t>
    </r>
    <r>
      <rPr>
        <sz val="9"/>
        <color rgb="FF0070C0"/>
        <rFont val="Calibri"/>
        <family val="2"/>
        <scheme val="minor"/>
      </rPr>
      <t xml:space="preserve"> </t>
    </r>
  </si>
  <si>
    <r>
      <t>aradaqiravebul fizikur pirebze gacemuli Tanxebi, romelic ar ukavSirdeba momsaxurebis anazRaurebas da ar eqvemdebareba gadaxdis wyarosTan dabegvras</t>
    </r>
    <r>
      <rPr>
        <sz val="10"/>
        <color rgb="FF0070C0"/>
        <rFont val="Calibri"/>
        <family val="2"/>
        <scheme val="minor"/>
      </rPr>
      <t xml:space="preserve"> </t>
    </r>
  </si>
  <si>
    <r>
      <t>maqsimaluri xelfasi</t>
    </r>
    <r>
      <rPr>
        <sz val="11"/>
        <color rgb="FF0070C0"/>
        <rFont val="Calibri"/>
        <family val="2"/>
        <scheme val="minor"/>
      </rPr>
      <t xml:space="preserve"> </t>
    </r>
  </si>
  <si>
    <r>
      <t>minimaluri xelfasi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</si>
  <si>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naRdi fulis naSTi </t>
    </r>
    <r>
      <rPr>
        <sz val="9"/>
        <color rgb="FF0070C0"/>
        <rFont val="LitNusx"/>
      </rPr>
      <t>საანგარიშო</t>
    </r>
    <r>
      <rPr>
        <sz val="11"/>
        <color rgb="FF0070C0"/>
        <rFont val="LitNusx"/>
      </rPr>
      <t xml:space="preserve"> Tvis bolosTvis</t>
    </r>
    <r>
      <rPr>
        <sz val="11"/>
        <color rgb="FF0070C0"/>
        <rFont val="Calibri"/>
        <family val="2"/>
        <scheme val="minor"/>
      </rPr>
      <t xml:space="preserve"> </t>
    </r>
  </si>
  <si>
    <t>1.საპენსიოთა არ ავგროსავთ-არ არის საპენსიო სქემის მონაწილე 2. პროცენტის სარგებელი აღებულია 1 თვის</t>
  </si>
  <si>
    <t>ზენორმატიული ხარჯი (2230-1700)=530</t>
  </si>
  <si>
    <t xml:space="preserve">daricxulia sul </t>
  </si>
  <si>
    <t>dakavebuli sapensio Senatani</t>
  </si>
  <si>
    <r>
      <t>saSemosavlo gadasaxadiT dasabegri Semosavali</t>
    </r>
    <r>
      <rPr>
        <u/>
        <sz val="9"/>
        <color rgb="FF008080"/>
        <rFont val="AcadNusx"/>
      </rPr>
      <t xml:space="preserve"> </t>
    </r>
  </si>
  <si>
    <r>
      <t>dakavebuli saSemosavlo gadasaxadi</t>
    </r>
    <r>
      <rPr>
        <u/>
        <sz val="9"/>
        <color rgb="FF008080"/>
        <rFont val="AcadNusx"/>
      </rPr>
      <t xml:space="preserve"> </t>
    </r>
  </si>
  <si>
    <t>dakavebulia sul</t>
  </si>
  <si>
    <t xml:space="preserve">eqvemdebareba xelze gacemas </t>
  </si>
  <si>
    <r>
      <rPr>
        <b/>
        <sz val="11"/>
        <rFont val="Times New Roman"/>
        <family val="1"/>
      </rPr>
      <t>1.3</t>
    </r>
    <r>
      <rPr>
        <sz val="7"/>
        <rFont val="Times New Roman"/>
        <family val="1"/>
      </rPr>
      <t xml:space="preserve">  </t>
    </r>
    <r>
      <rPr>
        <b/>
        <sz val="11"/>
        <rFont val="Sylfaen"/>
        <family val="1"/>
      </rPr>
      <t>განსაზღვრეთ დაქირავებული პირის სარგებელი და გადაიტანეთ მონაცემები ხელფასის დარიცხვის უწყისში (ვალის პატიება ლ. ნანსყანი)</t>
    </r>
  </si>
  <si>
    <t>დარიცხული თებერვლის თვის პროცენტი 2000*20%*=400/12*1=33.33</t>
  </si>
  <si>
    <r>
      <rPr>
        <b/>
        <sz val="10"/>
        <rFont val="Times New Roman"/>
        <family val="1"/>
      </rPr>
      <t> </t>
    </r>
    <r>
      <rPr>
        <b/>
        <sz val="10"/>
        <rFont val="Sylfaen"/>
        <family val="1"/>
      </rPr>
      <t>1.6</t>
    </r>
    <r>
      <rPr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განსაზღვრეთ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ამ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ოპერაციის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შედეგად</t>
    </r>
    <r>
      <rPr>
        <b/>
        <sz val="10"/>
        <rFont val="ArialUnicodeMS"/>
      </rPr>
      <t xml:space="preserve"> (</t>
    </r>
    <r>
      <rPr>
        <b/>
        <sz val="10"/>
        <rFont val="Sylfaen"/>
        <family val="1"/>
      </rPr>
      <t>თ</t>
    </r>
    <r>
      <rPr>
        <b/>
        <sz val="10"/>
        <rFont val="ArialUnicodeMS"/>
      </rPr>
      <t xml:space="preserve">. </t>
    </r>
    <r>
      <rPr>
        <b/>
        <sz val="10"/>
        <rFont val="Sylfaen"/>
        <family val="1"/>
      </rPr>
      <t>ჟღენტი)</t>
    </r>
    <r>
      <rPr>
        <b/>
        <sz val="10"/>
        <rFont val="ArialUnicodeMS"/>
      </rPr>
      <t xml:space="preserve">  </t>
    </r>
    <r>
      <rPr>
        <b/>
        <sz val="10"/>
        <rFont val="Sylfaen"/>
        <family val="1"/>
      </rPr>
      <t>მიღებული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სარგებელი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და გადაიტანეთ მონაცემები ხელფასის დარიცხვის უწყისში (მივლინება სვანეთში)</t>
    </r>
  </si>
  <si>
    <t xml:space="preserve"> მგზავრობა 30+65+35=130    სასტუმროს ხარჯები - 1000            სადღეღამისო ხარჯი 20*30=600 შემოწირულობა 500</t>
  </si>
  <si>
    <t>მგზავრობა 65+35=100 სასტუმროს ხარჯი- 1000 სადღეღამისო ხარჯი 20*30=600</t>
  </si>
  <si>
    <r>
      <rPr>
        <b/>
        <sz val="10"/>
        <rFont val="Times New Roman"/>
        <family val="1"/>
      </rPr>
      <t> </t>
    </r>
    <r>
      <rPr>
        <b/>
        <sz val="10"/>
        <rFont val="Sylfaen"/>
        <family val="1"/>
      </rPr>
      <t>1.7.</t>
    </r>
    <r>
      <rPr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განსაზღვრეთ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ამ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ოპერაციის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შედეგად</t>
    </r>
    <r>
      <rPr>
        <b/>
        <sz val="10"/>
        <rFont val="ArialUnicodeMS"/>
      </rPr>
      <t xml:space="preserve"> (</t>
    </r>
    <r>
      <rPr>
        <b/>
        <sz val="10"/>
        <rFont val="Sylfaen"/>
        <family val="1"/>
      </rPr>
      <t>ი.დვალი)</t>
    </r>
    <r>
      <rPr>
        <b/>
        <sz val="10"/>
        <rFont val="ArialUnicodeMS"/>
      </rPr>
      <t xml:space="preserve">  </t>
    </r>
    <r>
      <rPr>
        <b/>
        <sz val="10"/>
        <rFont val="Sylfaen"/>
        <family val="1"/>
      </rPr>
      <t>მიღებული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სარგებელი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და გადაიტანეთ მონაცემები ხელფასის დარიცხვის უწყისში (მივლინება აჭარაში)</t>
    </r>
  </si>
  <si>
    <t xml:space="preserve"> მგზავრობა 61+1+5+100=167    სასტუმროს ხარჯები - 1008            სადღეღამისო ხარჯი 20*30=600</t>
  </si>
  <si>
    <t>მგზავრობა 61+1=62 სასტუმროს ხარჯი- 1008 სადღეღამისო ხარჯი 20*30=600</t>
  </si>
  <si>
    <r>
      <rPr>
        <b/>
        <sz val="10"/>
        <rFont val="Times New Roman"/>
        <family val="1"/>
      </rPr>
      <t> </t>
    </r>
    <r>
      <rPr>
        <b/>
        <sz val="10"/>
        <rFont val="Sylfaen"/>
        <family val="1"/>
      </rPr>
      <t>1.8</t>
    </r>
    <r>
      <rPr>
        <sz val="10"/>
        <rFont val="Times New Roman"/>
        <family val="1"/>
      </rPr>
      <t xml:space="preserve"> </t>
    </r>
    <r>
      <rPr>
        <b/>
        <sz val="10"/>
        <rFont val="Sylfaen"/>
        <family val="1"/>
      </rPr>
      <t>განსაზღვრეთ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ამ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ოპერაციის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შედეგად</t>
    </r>
    <r>
      <rPr>
        <b/>
        <sz val="10"/>
        <rFont val="ArialUnicodeMS"/>
      </rPr>
      <t xml:space="preserve"> (ე. ლომიძე)  </t>
    </r>
    <r>
      <rPr>
        <b/>
        <sz val="10"/>
        <rFont val="Sylfaen"/>
        <family val="1"/>
      </rPr>
      <t>მიღებული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სარგებელი</t>
    </r>
    <r>
      <rPr>
        <b/>
        <sz val="10"/>
        <rFont val="ArialUnicodeMS"/>
      </rPr>
      <t xml:space="preserve"> </t>
    </r>
    <r>
      <rPr>
        <b/>
        <sz val="10"/>
        <rFont val="Sylfaen"/>
        <family val="1"/>
      </rPr>
      <t>და გადაიტანეთ მონაცემები ხელფასის დარიცხვის უწყისში (მივლინება პორტუგალიაში)</t>
    </r>
  </si>
  <si>
    <r>
      <t xml:space="preserve"> მგზავრობა - 1550 </t>
    </r>
    <r>
      <rPr>
        <sz val="10"/>
        <rFont val="Calibri"/>
        <family val="2"/>
      </rPr>
      <t>€</t>
    </r>
    <r>
      <rPr>
        <sz val="10"/>
        <rFont val="Calibri"/>
        <family val="2"/>
        <scheme val="minor"/>
      </rPr>
      <t xml:space="preserve">  სასტუმროს ხარჯები - 2100 €       სადღეღამისო ხარჯი 714 €</t>
    </r>
  </si>
  <si>
    <r>
      <rPr>
        <b/>
        <sz val="10"/>
        <rFont val="Times New Roman"/>
        <family val="1"/>
      </rPr>
      <t> </t>
    </r>
    <r>
      <rPr>
        <b/>
        <sz val="10"/>
        <rFont val="Sylfaen"/>
        <family val="1"/>
      </rPr>
      <t>1.9  თანამშრომლების კომპლექსური სადილი</t>
    </r>
  </si>
  <si>
    <r>
      <rPr>
        <b/>
        <sz val="10"/>
        <rFont val="Calibri"/>
        <family val="2"/>
        <scheme val="minor"/>
      </rPr>
      <t>პეტრე გიგან</t>
    </r>
    <r>
      <rPr>
        <sz val="10"/>
        <rFont val="Calibri"/>
        <family val="2"/>
        <scheme val="minor"/>
      </rPr>
      <t>ი ფართის გამქირავებელი 950/0.95</t>
    </r>
  </si>
  <si>
    <r>
      <t xml:space="preserve">პეტრე მაჩაბელი- </t>
    </r>
    <r>
      <rPr>
        <sz val="10"/>
        <rFont val="Calibri"/>
        <family val="2"/>
        <scheme val="minor"/>
      </rPr>
      <t>ფართის გამქირავებელი 1500</t>
    </r>
  </si>
  <si>
    <r>
      <rPr>
        <b/>
        <sz val="10"/>
        <rFont val="Calibri"/>
        <family val="2"/>
        <scheme val="minor"/>
      </rPr>
      <t xml:space="preserve"> მზია მეტრეველი</t>
    </r>
    <r>
      <rPr>
        <sz val="10"/>
        <rFont val="Calibri"/>
        <family val="2"/>
        <scheme val="minor"/>
      </rPr>
      <t xml:space="preserve"> თებერვლის დასაბეგრი სარგებელი 0. თანხა გადარიცხულია 7 მარტს</t>
    </r>
  </si>
  <si>
    <r>
      <rPr>
        <b/>
        <sz val="10"/>
        <rFont val="Calibri"/>
        <family val="2"/>
        <scheme val="minor"/>
      </rPr>
      <t xml:space="preserve"> ნინო მონიავა</t>
    </r>
    <r>
      <rPr>
        <sz val="10"/>
        <rFont val="Calibri"/>
        <family val="2"/>
        <scheme val="minor"/>
      </rPr>
      <t xml:space="preserve"> თებერვლის დასაბეგრი სარგებელი 0</t>
    </r>
  </si>
  <si>
    <r>
      <t xml:space="preserve">მაყვალა თუშიშვილი </t>
    </r>
    <r>
      <rPr>
        <sz val="10"/>
        <rFont val="Calibri"/>
        <family val="2"/>
        <scheme val="minor"/>
      </rPr>
      <t>მიკრო ბიზნესის სტატუსის მქონე პირი 500*0=0</t>
    </r>
  </si>
  <si>
    <r>
      <t xml:space="preserve">თ. შამფრიანი </t>
    </r>
    <r>
      <rPr>
        <sz val="10"/>
        <rFont val="Calibri"/>
        <family val="2"/>
        <scheme val="minor"/>
      </rPr>
      <t>სატრანსპორტო მომსახურება 2400/0.8=3000</t>
    </r>
  </si>
  <si>
    <r>
      <t xml:space="preserve">ილია კალანდია </t>
    </r>
    <r>
      <rPr>
        <sz val="10"/>
        <rFont val="Calibri"/>
        <family val="2"/>
        <scheme val="minor"/>
      </rPr>
      <t>დარღვეული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მიკრო ბიზნესის სტატუსის მქონე პირი. სატრანსპორტო მომსახურება 1500/0.8=1875</t>
    </r>
  </si>
  <si>
    <r>
      <t xml:space="preserve">თ.კალანდაძე </t>
    </r>
    <r>
      <rPr>
        <sz val="10"/>
        <rFont val="Calibri"/>
        <family val="2"/>
        <scheme val="minor"/>
      </rPr>
      <t>საინსტალაციო მომსახურება 700/0,784=892,86</t>
    </r>
  </si>
  <si>
    <r>
      <rPr>
        <b/>
        <sz val="10"/>
        <rFont val="Calibri"/>
        <family val="2"/>
        <scheme val="minor"/>
      </rPr>
      <t>გივი წიკლაური</t>
    </r>
    <r>
      <rPr>
        <sz val="10"/>
        <rFont val="Calibri"/>
        <family val="2"/>
        <scheme val="minor"/>
      </rPr>
      <t xml:space="preserve"> სარემონტო მომსახურება 2300/0,784=2933,67</t>
    </r>
  </si>
  <si>
    <r>
      <t xml:space="preserve">პეტრე მაჩაბელი </t>
    </r>
    <r>
      <rPr>
        <sz val="10"/>
        <rFont val="Calibri"/>
        <family val="2"/>
        <scheme val="minor"/>
      </rPr>
      <t>ფართის გამქირავებელი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1500/,0784=1913,27</t>
    </r>
  </si>
  <si>
    <r>
      <rPr>
        <b/>
        <sz val="10"/>
        <rFont val="Calibri"/>
        <family val="2"/>
        <scheme val="minor"/>
      </rPr>
      <t>ფ. გელბახიანი</t>
    </r>
    <r>
      <rPr>
        <sz val="10"/>
        <rFont val="Calibri"/>
        <family val="2"/>
        <scheme val="minor"/>
      </rPr>
      <t xml:space="preserve">  სტიპენდია</t>
    </r>
  </si>
  <si>
    <r>
      <rPr>
        <b/>
        <sz val="10"/>
        <rFont val="Calibri"/>
        <family val="2"/>
        <scheme val="minor"/>
      </rPr>
      <t xml:space="preserve">გ.  გინტური </t>
    </r>
    <r>
      <rPr>
        <sz val="10"/>
        <rFont val="Calibri"/>
        <family val="2"/>
        <scheme val="minor"/>
      </rPr>
      <t xml:space="preserve"> სტიპენდია</t>
    </r>
  </si>
  <si>
    <r>
      <rPr>
        <b/>
        <sz val="10"/>
        <rFont val="Calibri"/>
        <family val="2"/>
        <scheme val="minor"/>
      </rPr>
      <t>მ.ლაშხი</t>
    </r>
    <r>
      <rPr>
        <sz val="10"/>
        <rFont val="Calibri"/>
        <family val="2"/>
        <scheme val="minor"/>
      </rPr>
      <t xml:space="preserve">  მკურნალობის თანხა</t>
    </r>
  </si>
  <si>
    <r>
      <rPr>
        <b/>
        <sz val="10"/>
        <rFont val="Calibri"/>
        <family val="2"/>
        <scheme val="minor"/>
      </rPr>
      <t>მ ფერხული</t>
    </r>
    <r>
      <rPr>
        <sz val="10"/>
        <rFont val="Calibri"/>
        <family val="2"/>
        <scheme val="minor"/>
      </rPr>
      <t xml:space="preserve"> სწავლის თანხა 1000*0,8=1250</t>
    </r>
  </si>
  <si>
    <r>
      <rPr>
        <b/>
        <sz val="10"/>
        <rFont val="Calibri"/>
        <family val="2"/>
        <scheme val="minor"/>
      </rPr>
      <t>მ. ფიფია</t>
    </r>
    <r>
      <rPr>
        <sz val="10"/>
        <rFont val="Calibri"/>
        <family val="2"/>
        <scheme val="minor"/>
      </rPr>
      <t xml:space="preserve">  700+1100=1800  1800/0,8=2075</t>
    </r>
  </si>
  <si>
    <r>
      <t xml:space="preserve">ვ. იაშვილი </t>
    </r>
    <r>
      <rPr>
        <sz val="10"/>
        <rFont val="Calibri"/>
        <family val="2"/>
        <scheme val="minor"/>
      </rPr>
      <t>0 არ წარმოადგენს სარგებელს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</si>
</sst>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Sylfaen"/>
      <family val="1"/>
    </font>
    <font>
      <sz val="9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9"/>
      <color rgb="FF000000"/>
      <name val="Sylfaen"/>
      <family val="1"/>
    </font>
    <font>
      <u/>
      <sz val="9"/>
      <color rgb="FF008080"/>
      <name val="AcadNusx"/>
    </font>
    <font>
      <sz val="9"/>
      <color theme="1"/>
      <name val="Calibri"/>
      <family val="2"/>
      <scheme val="minor"/>
    </font>
    <font>
      <b/>
      <u/>
      <sz val="12"/>
      <color rgb="FF008080"/>
      <name val="Sylfaen"/>
      <family val="1"/>
    </font>
    <font>
      <b/>
      <u/>
      <sz val="10"/>
      <color rgb="FF008080"/>
      <name val="Sylfaen"/>
      <family val="1"/>
    </font>
    <font>
      <b/>
      <u/>
      <sz val="10"/>
      <color rgb="FF008080"/>
      <name val="LitMtavrPS"/>
    </font>
    <font>
      <u/>
      <sz val="7.5"/>
      <color rgb="FF008080"/>
      <name val="LitMtavrPS"/>
    </font>
    <font>
      <u/>
      <sz val="11"/>
      <color rgb="FF008080"/>
      <name val="Calibri"/>
      <family val="2"/>
      <scheme val="minor"/>
    </font>
    <font>
      <u/>
      <sz val="9"/>
      <color rgb="FF008080"/>
      <name val="LitNusx"/>
    </font>
    <font>
      <b/>
      <u/>
      <sz val="9"/>
      <color rgb="FF008080"/>
      <name val="Calibri"/>
      <family val="2"/>
      <scheme val="minor"/>
    </font>
    <font>
      <u/>
      <sz val="11"/>
      <color rgb="FF008080"/>
      <name val="LitNusx"/>
    </font>
    <font>
      <sz val="9"/>
      <color rgb="FF222222"/>
      <name val="BPG Arial"/>
    </font>
    <font>
      <b/>
      <sz val="11"/>
      <color theme="1"/>
      <name val="AcadNusx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008080"/>
      <name val="LitNusx"/>
    </font>
    <font>
      <vertAlign val="superscript"/>
      <sz val="9"/>
      <color rgb="FF222222"/>
      <name val="BPG Arial"/>
    </font>
    <font>
      <sz val="9"/>
      <color rgb="FF008080"/>
      <name val="LitNusx"/>
    </font>
    <font>
      <sz val="9"/>
      <color rgb="FF008080"/>
      <name val="Calibri"/>
      <family val="2"/>
      <scheme val="minor"/>
    </font>
    <font>
      <b/>
      <sz val="9"/>
      <color rgb="FF008080"/>
      <name val="LitNusx"/>
    </font>
    <font>
      <b/>
      <sz val="9"/>
      <color rgb="FF008080"/>
      <name val="Calibri"/>
      <family val="2"/>
      <scheme val="minor"/>
    </font>
    <font>
      <vertAlign val="superscript"/>
      <sz val="9"/>
      <color rgb="FF008080"/>
      <name val="LitNusx"/>
    </font>
    <font>
      <vertAlign val="superscript"/>
      <sz val="11"/>
      <color rgb="FF008080"/>
      <name val="LitNusx"/>
    </font>
    <font>
      <b/>
      <sz val="12"/>
      <color rgb="FF008080"/>
      <name val="LitNusx"/>
    </font>
    <font>
      <b/>
      <sz val="12"/>
      <color rgb="FF008080"/>
      <name val="Sylfaen"/>
      <family val="1"/>
    </font>
    <font>
      <sz val="8.5"/>
      <color rgb="FF008080"/>
      <name val="LitNusx"/>
    </font>
    <font>
      <sz val="10"/>
      <color rgb="FF008080"/>
      <name val="LitNusx"/>
    </font>
    <font>
      <sz val="9"/>
      <color rgb="FF008080"/>
      <name val="Sylfaen"/>
      <family val="1"/>
    </font>
    <font>
      <sz val="11"/>
      <color rgb="FF008080"/>
      <name val="Sylfaen"/>
      <family val="1"/>
    </font>
    <font>
      <sz val="12"/>
      <color theme="1"/>
      <name val="AcadNusx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70C0"/>
      <name val="LitNusx"/>
    </font>
    <font>
      <sz val="11"/>
      <color rgb="FF0070C0"/>
      <name val="Calibri"/>
      <family val="2"/>
      <scheme val="minor"/>
    </font>
    <font>
      <sz val="9"/>
      <color rgb="FF0070C0"/>
      <name val="LitNusx"/>
    </font>
    <font>
      <sz val="9"/>
      <color rgb="FF0070C0"/>
      <name val="Calibri"/>
      <family val="2"/>
      <scheme val="minor"/>
    </font>
    <font>
      <sz val="10"/>
      <color rgb="FF0070C0"/>
      <name val="LitNusx"/>
    </font>
    <font>
      <sz val="10"/>
      <color rgb="FF0070C0"/>
      <name val="Calibri"/>
      <family val="2"/>
      <scheme val="minor"/>
    </font>
    <font>
      <sz val="9"/>
      <color theme="1"/>
      <name val="BPG Arial"/>
    </font>
    <font>
      <sz val="9"/>
      <color rgb="FF0070C0"/>
      <name val="BPG Arial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Wingdings"/>
      <charset val="2"/>
    </font>
    <font>
      <b/>
      <sz val="11"/>
      <name val="Times New Roman"/>
      <family val="1"/>
    </font>
    <font>
      <sz val="7"/>
      <name val="Times New Roman"/>
      <family val="1"/>
    </font>
    <font>
      <b/>
      <sz val="11"/>
      <name val="Sylfae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sz val="10"/>
      <name val="Wingdings"/>
      <charset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UnicodeMS"/>
    </font>
    <font>
      <sz val="10"/>
      <name val="Calibri"/>
      <family val="2"/>
    </font>
    <font>
      <sz val="11"/>
      <name val="Sylfaen"/>
      <family val="1"/>
    </font>
    <font>
      <b/>
      <sz val="10"/>
      <name val="Wingdings"/>
      <charset val="2"/>
    </font>
    <font>
      <b/>
      <sz val="11"/>
      <name val="Calibri"/>
      <family val="2"/>
      <scheme val="minor"/>
    </font>
    <font>
      <sz val="10"/>
      <name val="AcadNusx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1">
    <xf numFmtId="0" fontId="0" fillId="0" borderId="0" xfId="0"/>
    <xf numFmtId="0" fontId="6" fillId="0" borderId="1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indent="8"/>
    </xf>
    <xf numFmtId="0" fontId="12" fillId="0" borderId="0" xfId="0" applyFont="1" applyAlignment="1">
      <alignment horizontal="left" indent="15"/>
    </xf>
    <xf numFmtId="0" fontId="0" fillId="0" borderId="0" xfId="0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25" fillId="0" borderId="0" xfId="0" applyFont="1"/>
    <xf numFmtId="0" fontId="23" fillId="0" borderId="0" xfId="0" applyFont="1"/>
    <xf numFmtId="0" fontId="24" fillId="0" borderId="0" xfId="0" applyFont="1"/>
    <xf numFmtId="0" fontId="26" fillId="0" borderId="0" xfId="0" applyNumberFormat="1" applyFont="1"/>
    <xf numFmtId="0" fontId="22" fillId="0" borderId="6" xfId="0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2" fontId="0" fillId="0" borderId="0" xfId="0" applyNumberFormat="1"/>
    <xf numFmtId="2" fontId="22" fillId="0" borderId="1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2" fillId="0" borderId="27" xfId="0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2" fontId="22" fillId="0" borderId="6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/>
    </xf>
    <xf numFmtId="2" fontId="28" fillId="2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9" fillId="0" borderId="43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wrapText="1"/>
    </xf>
    <xf numFmtId="0" fontId="29" fillId="0" borderId="50" xfId="0" applyFont="1" applyBorder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43" fillId="0" borderId="4" xfId="0" applyFont="1" applyBorder="1" applyAlignment="1">
      <alignment horizontal="center" wrapText="1"/>
    </xf>
    <xf numFmtId="0" fontId="43" fillId="2" borderId="60" xfId="0" applyFont="1" applyFill="1" applyBorder="1" applyAlignment="1">
      <alignment horizontal="center" wrapText="1"/>
    </xf>
    <xf numFmtId="0" fontId="20" fillId="0" borderId="6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3" fontId="20" fillId="0" borderId="19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1" fontId="20" fillId="0" borderId="6" xfId="0" applyNumberFormat="1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43" fillId="0" borderId="6" xfId="0" applyFont="1" applyBorder="1" applyAlignment="1">
      <alignment horizontal="center" wrapText="1"/>
    </xf>
    <xf numFmtId="0" fontId="19" fillId="0" borderId="19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/>
    <xf numFmtId="2" fontId="19" fillId="0" borderId="19" xfId="0" applyNumberFormat="1" applyFont="1" applyBorder="1" applyAlignment="1">
      <alignment horizontal="center"/>
    </xf>
    <xf numFmtId="0" fontId="44" fillId="0" borderId="0" xfId="0" applyFont="1"/>
    <xf numFmtId="0" fontId="17" fillId="4" borderId="6" xfId="0" applyFont="1" applyFill="1" applyBorder="1" applyAlignment="1">
      <alignment horizontal="center" vertical="center" wrapText="1"/>
    </xf>
    <xf numFmtId="1" fontId="0" fillId="0" borderId="0" xfId="0" applyNumberFormat="1"/>
    <xf numFmtId="2" fontId="28" fillId="2" borderId="9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0" fillId="2" borderId="0" xfId="0" applyFill="1" applyAlignment="1"/>
    <xf numFmtId="0" fontId="46" fillId="0" borderId="27" xfId="0" applyFont="1" applyBorder="1" applyAlignment="1">
      <alignment horizontal="center"/>
    </xf>
    <xf numFmtId="0" fontId="47" fillId="0" borderId="0" xfId="0" applyFont="1"/>
    <xf numFmtId="0" fontId="20" fillId="2" borderId="18" xfId="0" applyFont="1" applyFill="1" applyBorder="1" applyAlignment="1">
      <alignment horizontal="center" vertical="center" textRotation="90" wrapText="1"/>
    </xf>
    <xf numFmtId="0" fontId="20" fillId="2" borderId="18" xfId="0" applyFont="1" applyFill="1" applyBorder="1" applyAlignment="1">
      <alignment horizontal="center" vertical="center" textRotation="90"/>
    </xf>
    <xf numFmtId="2" fontId="0" fillId="0" borderId="0" xfId="0" applyNumberFormat="1" applyFont="1" applyAlignment="1">
      <alignment horizontal="center" vertical="center" wrapText="1"/>
    </xf>
    <xf numFmtId="2" fontId="31" fillId="0" borderId="33" xfId="0" applyNumberFormat="1" applyFont="1" applyBorder="1" applyAlignment="1">
      <alignment horizontal="center" vertical="center" wrapText="1"/>
    </xf>
    <xf numFmtId="2" fontId="31" fillId="0" borderId="29" xfId="0" applyNumberFormat="1" applyFont="1" applyBorder="1" applyAlignment="1">
      <alignment horizontal="center" vertical="center" wrapText="1"/>
    </xf>
    <xf numFmtId="2" fontId="28" fillId="2" borderId="0" xfId="0" applyNumberFormat="1" applyFont="1" applyFill="1" applyBorder="1" applyAlignment="1">
      <alignment horizontal="center" vertical="center" wrapText="1"/>
    </xf>
    <xf numFmtId="2" fontId="28" fillId="2" borderId="37" xfId="0" applyNumberFormat="1" applyFont="1" applyFill="1" applyBorder="1" applyAlignment="1">
      <alignment horizontal="center" vertical="center" wrapText="1"/>
    </xf>
    <xf numFmtId="2" fontId="28" fillId="2" borderId="34" xfId="0" applyNumberFormat="1" applyFont="1" applyFill="1" applyBorder="1" applyAlignment="1">
      <alignment horizontal="center" vertical="center" wrapText="1"/>
    </xf>
    <xf numFmtId="2" fontId="28" fillId="2" borderId="53" xfId="0" applyNumberFormat="1" applyFont="1" applyFill="1" applyBorder="1" applyAlignment="1">
      <alignment horizontal="center" vertical="center" wrapText="1"/>
    </xf>
    <xf numFmtId="2" fontId="28" fillId="2" borderId="15" xfId="0" applyNumberFormat="1" applyFont="1" applyFill="1" applyBorder="1" applyAlignment="1">
      <alignment horizontal="center" vertical="center" wrapText="1"/>
    </xf>
    <xf numFmtId="2" fontId="28" fillId="2" borderId="88" xfId="0" applyNumberFormat="1" applyFont="1" applyFill="1" applyBorder="1" applyAlignment="1">
      <alignment horizontal="center" vertical="center" wrapText="1"/>
    </xf>
    <xf numFmtId="2" fontId="28" fillId="2" borderId="61" xfId="0" applyNumberFormat="1" applyFont="1" applyFill="1" applyBorder="1" applyAlignment="1">
      <alignment horizontal="center" vertical="center" wrapText="1"/>
    </xf>
    <xf numFmtId="2" fontId="28" fillId="3" borderId="31" xfId="0" applyNumberFormat="1" applyFont="1" applyFill="1" applyBorder="1" applyAlignment="1">
      <alignment horizontal="center" vertical="center" wrapText="1"/>
    </xf>
    <xf numFmtId="2" fontId="28" fillId="2" borderId="42" xfId="0" applyNumberFormat="1" applyFont="1" applyFill="1" applyBorder="1" applyAlignment="1">
      <alignment horizontal="center" vertical="center" wrapText="1"/>
    </xf>
    <xf numFmtId="2" fontId="28" fillId="2" borderId="70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28" fillId="2" borderId="54" xfId="0" applyNumberFormat="1" applyFont="1" applyFill="1" applyBorder="1" applyAlignment="1">
      <alignment horizontal="center" vertical="center" wrapText="1"/>
    </xf>
    <xf numFmtId="2" fontId="28" fillId="2" borderId="16" xfId="0" applyNumberFormat="1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2" fontId="28" fillId="3" borderId="37" xfId="0" applyNumberFormat="1" applyFont="1" applyFill="1" applyBorder="1" applyAlignment="1">
      <alignment horizontal="center" vertical="center" wrapText="1"/>
    </xf>
    <xf numFmtId="2" fontId="28" fillId="3" borderId="90" xfId="0" applyNumberFormat="1" applyFont="1" applyFill="1" applyBorder="1" applyAlignment="1">
      <alignment horizontal="center" vertical="center" wrapText="1"/>
    </xf>
    <xf numFmtId="2" fontId="28" fillId="2" borderId="4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28" fillId="2" borderId="91" xfId="0" applyNumberFormat="1" applyFont="1" applyFill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8" fillId="3" borderId="91" xfId="0" applyNumberFormat="1" applyFont="1" applyFill="1" applyBorder="1" applyAlignment="1">
      <alignment horizontal="center" vertical="center" wrapText="1"/>
    </xf>
    <xf numFmtId="2" fontId="28" fillId="3" borderId="4" xfId="0" applyNumberFormat="1" applyFont="1" applyFill="1" applyBorder="1" applyAlignment="1">
      <alignment horizontal="center" vertical="center" wrapText="1"/>
    </xf>
    <xf numFmtId="2" fontId="28" fillId="2" borderId="92" xfId="0" applyNumberFormat="1" applyFont="1" applyFill="1" applyBorder="1" applyAlignment="1">
      <alignment horizontal="center" vertical="center" wrapText="1"/>
    </xf>
    <xf numFmtId="2" fontId="28" fillId="2" borderId="93" xfId="0" applyNumberFormat="1" applyFont="1" applyFill="1" applyBorder="1" applyAlignment="1">
      <alignment horizontal="center" vertical="center" wrapText="1"/>
    </xf>
    <xf numFmtId="2" fontId="0" fillId="0" borderId="94" xfId="0" applyNumberFormat="1" applyFont="1" applyBorder="1" applyAlignment="1">
      <alignment horizontal="center"/>
    </xf>
    <xf numFmtId="2" fontId="28" fillId="2" borderId="95" xfId="0" applyNumberFormat="1" applyFont="1" applyFill="1" applyBorder="1" applyAlignment="1">
      <alignment horizontal="center" vertical="center" wrapText="1"/>
    </xf>
    <xf numFmtId="2" fontId="28" fillId="2" borderId="94" xfId="0" applyNumberFormat="1" applyFont="1" applyFill="1" applyBorder="1" applyAlignment="1">
      <alignment horizontal="center" vertical="center" wrapText="1"/>
    </xf>
    <xf numFmtId="2" fontId="28" fillId="2" borderId="60" xfId="0" applyNumberFormat="1" applyFont="1" applyFill="1" applyBorder="1" applyAlignment="1">
      <alignment horizontal="center" vertical="center" wrapText="1"/>
    </xf>
    <xf numFmtId="1" fontId="29" fillId="0" borderId="31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2" borderId="0" xfId="0" applyFont="1" applyFill="1"/>
    <xf numFmtId="0" fontId="21" fillId="0" borderId="97" xfId="0" applyFont="1" applyBorder="1" applyAlignment="1">
      <alignment horizontal="center" vertical="center" textRotation="90" wrapText="1"/>
    </xf>
    <xf numFmtId="0" fontId="21" fillId="0" borderId="6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/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wrapText="1"/>
    </xf>
    <xf numFmtId="0" fontId="29" fillId="0" borderId="37" xfId="0" applyFont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vertical="center" wrapText="1"/>
    </xf>
    <xf numFmtId="3" fontId="20" fillId="5" borderId="18" xfId="0" applyNumberFormat="1" applyFont="1" applyFill="1" applyBorder="1" applyAlignment="1">
      <alignment horizontal="center"/>
    </xf>
    <xf numFmtId="2" fontId="22" fillId="5" borderId="19" xfId="0" applyNumberFormat="1" applyFont="1" applyFill="1" applyBorder="1" applyAlignment="1">
      <alignment horizontal="center"/>
    </xf>
    <xf numFmtId="2" fontId="28" fillId="5" borderId="31" xfId="0" applyNumberFormat="1" applyFont="1" applyFill="1" applyBorder="1" applyAlignment="1">
      <alignment horizontal="center" vertical="center" wrapText="1"/>
    </xf>
    <xf numFmtId="3" fontId="20" fillId="5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8" fillId="0" borderId="11" xfId="0" applyFont="1" applyBorder="1"/>
    <xf numFmtId="0" fontId="3" fillId="0" borderId="1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3" fillId="2" borderId="23" xfId="0" applyFont="1" applyFill="1" applyBorder="1" applyAlignment="1">
      <alignment horizontal="center" vertical="center" textRotation="90" wrapText="1"/>
    </xf>
    <xf numFmtId="0" fontId="43" fillId="2" borderId="14" xfId="0" applyFont="1" applyFill="1" applyBorder="1" applyAlignment="1">
      <alignment horizontal="center" vertical="center" textRotation="90" wrapText="1"/>
    </xf>
    <xf numFmtId="0" fontId="19" fillId="0" borderId="6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43" fillId="2" borderId="7" xfId="0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19" fillId="2" borderId="78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77" xfId="0" applyFont="1" applyFill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56" fillId="2" borderId="27" xfId="0" applyFont="1" applyFill="1" applyBorder="1" applyAlignment="1">
      <alignment horizontal="center" vertical="center" wrapText="1"/>
    </xf>
    <xf numFmtId="0" fontId="56" fillId="2" borderId="28" xfId="0" applyFont="1" applyFill="1" applyBorder="1" applyAlignment="1">
      <alignment horizontal="center" vertical="center" wrapText="1"/>
    </xf>
    <xf numFmtId="0" fontId="49" fillId="0" borderId="37" xfId="0" applyFont="1" applyBorder="1" applyAlignment="1">
      <alignment horizontal="left" wrapText="1"/>
    </xf>
    <xf numFmtId="0" fontId="49" fillId="0" borderId="39" xfId="0" applyFont="1" applyBorder="1" applyAlignment="1">
      <alignment horizontal="left" wrapText="1"/>
    </xf>
    <xf numFmtId="0" fontId="49" fillId="0" borderId="38" xfId="0" applyFont="1" applyBorder="1" applyAlignment="1">
      <alignment horizontal="left" wrapText="1"/>
    </xf>
    <xf numFmtId="0" fontId="49" fillId="0" borderId="40" xfId="0" applyFont="1" applyBorder="1" applyAlignment="1">
      <alignment horizontal="left" wrapText="1"/>
    </xf>
    <xf numFmtId="0" fontId="49" fillId="0" borderId="5" xfId="0" applyFont="1" applyBorder="1" applyAlignment="1">
      <alignment horizontal="left" wrapText="1"/>
    </xf>
    <xf numFmtId="0" fontId="49" fillId="0" borderId="41" xfId="0" applyFont="1" applyBorder="1" applyAlignment="1">
      <alignment horizontal="left" wrapText="1"/>
    </xf>
    <xf numFmtId="0" fontId="51" fillId="0" borderId="37" xfId="0" applyFont="1" applyBorder="1" applyAlignment="1">
      <alignment horizontal="left" wrapText="1"/>
    </xf>
    <xf numFmtId="0" fontId="51" fillId="0" borderId="39" xfId="0" applyFont="1" applyBorder="1" applyAlignment="1">
      <alignment horizontal="left" wrapText="1"/>
    </xf>
    <xf numFmtId="0" fontId="51" fillId="0" borderId="38" xfId="0" applyFont="1" applyBorder="1" applyAlignment="1">
      <alignment horizontal="left" wrapText="1"/>
    </xf>
    <xf numFmtId="0" fontId="53" fillId="0" borderId="37" xfId="0" applyFont="1" applyBorder="1" applyAlignment="1">
      <alignment horizontal="left" vertical="top" wrapText="1"/>
    </xf>
    <xf numFmtId="0" fontId="53" fillId="0" borderId="39" xfId="0" applyFont="1" applyBorder="1" applyAlignment="1">
      <alignment horizontal="left" vertical="top" wrapText="1"/>
    </xf>
    <xf numFmtId="0" fontId="53" fillId="0" borderId="38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top" wrapText="1"/>
    </xf>
    <xf numFmtId="0" fontId="51" fillId="0" borderId="39" xfId="0" applyFont="1" applyBorder="1" applyAlignment="1">
      <alignment horizontal="left" vertical="top" wrapText="1"/>
    </xf>
    <xf numFmtId="0" fontId="56" fillId="2" borderId="37" xfId="0" applyFont="1" applyFill="1" applyBorder="1" applyAlignment="1">
      <alignment horizontal="left" vertical="center" wrapText="1"/>
    </xf>
    <xf numFmtId="0" fontId="56" fillId="2" borderId="39" xfId="0" applyFont="1" applyFill="1" applyBorder="1" applyAlignment="1">
      <alignment horizontal="left" vertical="center" wrapText="1"/>
    </xf>
    <xf numFmtId="0" fontId="56" fillId="2" borderId="38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39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top" wrapText="1"/>
    </xf>
    <xf numFmtId="0" fontId="33" fillId="0" borderId="47" xfId="0" applyFont="1" applyBorder="1" applyAlignment="1">
      <alignment horizontal="center" vertical="top" wrapText="1"/>
    </xf>
    <xf numFmtId="0" fontId="33" fillId="0" borderId="86" xfId="0" applyFont="1" applyBorder="1" applyAlignment="1">
      <alignment horizontal="center" vertical="top" wrapText="1"/>
    </xf>
    <xf numFmtId="0" fontId="29" fillId="0" borderId="35" xfId="0" applyFont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17" fillId="4" borderId="6" xfId="0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52" fillId="0" borderId="37" xfId="0" applyFont="1" applyBorder="1" applyAlignment="1">
      <alignment horizontal="left" wrapText="1"/>
    </xf>
    <xf numFmtId="0" fontId="52" fillId="0" borderId="39" xfId="0" applyFont="1" applyBorder="1" applyAlignment="1">
      <alignment horizontal="left" wrapText="1"/>
    </xf>
    <xf numFmtId="0" fontId="52" fillId="0" borderId="38" xfId="0" applyFont="1" applyBorder="1" applyAlignment="1">
      <alignment horizontal="left" wrapText="1"/>
    </xf>
    <xf numFmtId="2" fontId="28" fillId="3" borderId="91" xfId="0" applyNumberFormat="1" applyFont="1" applyFill="1" applyBorder="1" applyAlignment="1">
      <alignment horizontal="center" vertical="center" wrapText="1"/>
    </xf>
    <xf numFmtId="2" fontId="28" fillId="3" borderId="4" xfId="0" applyNumberFormat="1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9" fillId="0" borderId="38" xfId="0" applyFont="1" applyBorder="1" applyAlignment="1">
      <alignment vertical="top" wrapText="1"/>
    </xf>
    <xf numFmtId="0" fontId="29" fillId="0" borderId="46" xfId="0" applyFont="1" applyBorder="1" applyAlignment="1">
      <alignment horizontal="left" vertical="top" wrapText="1"/>
    </xf>
    <xf numFmtId="0" fontId="29" fillId="0" borderId="47" xfId="0" applyFont="1" applyBorder="1" applyAlignment="1">
      <alignment horizontal="left" vertical="top" wrapText="1"/>
    </xf>
    <xf numFmtId="0" fontId="29" fillId="0" borderId="82" xfId="0" applyFont="1" applyBorder="1" applyAlignment="1">
      <alignment horizontal="left" vertical="top" wrapText="1"/>
    </xf>
    <xf numFmtId="0" fontId="31" fillId="0" borderId="35" xfId="0" applyFont="1" applyBorder="1" applyAlignment="1">
      <alignment vertical="top" wrapText="1"/>
    </xf>
    <xf numFmtId="0" fontId="31" fillId="0" borderId="36" xfId="0" applyFont="1" applyBorder="1" applyAlignment="1">
      <alignment vertical="top" wrapText="1"/>
    </xf>
    <xf numFmtId="0" fontId="31" fillId="0" borderId="32" xfId="0" applyFont="1" applyBorder="1" applyAlignment="1">
      <alignment vertical="top" wrapText="1"/>
    </xf>
    <xf numFmtId="0" fontId="33" fillId="0" borderId="79" xfId="0" applyFont="1" applyBorder="1" applyAlignment="1">
      <alignment vertical="top" wrapText="1"/>
    </xf>
    <xf numFmtId="0" fontId="33" fillId="0" borderId="80" xfId="0" applyFont="1" applyBorder="1" applyAlignment="1">
      <alignment vertical="top" wrapText="1"/>
    </xf>
    <xf numFmtId="0" fontId="33" fillId="0" borderId="81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28" fillId="0" borderId="7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1" fillId="0" borderId="53" xfId="0" applyFont="1" applyBorder="1" applyAlignment="1">
      <alignment vertical="top" wrapText="1"/>
    </xf>
    <xf numFmtId="0" fontId="31" fillId="0" borderId="39" xfId="0" applyFont="1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0" fontId="29" fillId="0" borderId="53" xfId="0" applyFont="1" applyBorder="1" applyAlignment="1">
      <alignment horizontal="left" vertical="top" wrapText="1"/>
    </xf>
    <xf numFmtId="0" fontId="29" fillId="0" borderId="39" xfId="0" applyFont="1" applyBorder="1" applyAlignment="1">
      <alignment horizontal="left" vertical="top" wrapText="1"/>
    </xf>
    <xf numFmtId="0" fontId="29" fillId="0" borderId="45" xfId="0" applyFont="1" applyBorder="1" applyAlignment="1">
      <alignment horizontal="left" vertical="top" wrapText="1"/>
    </xf>
    <xf numFmtId="0" fontId="13" fillId="0" borderId="4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31" fillId="0" borderId="85" xfId="0" applyNumberFormat="1" applyFont="1" applyBorder="1" applyAlignment="1">
      <alignment horizontal="center" vertical="center" wrapText="1"/>
    </xf>
    <xf numFmtId="2" fontId="31" fillId="0" borderId="89" xfId="0" applyNumberFormat="1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87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29" fillId="0" borderId="83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0" fontId="29" fillId="0" borderId="84" xfId="0" applyFont="1" applyBorder="1" applyAlignment="1">
      <alignment vertical="top" wrapText="1"/>
    </xf>
    <xf numFmtId="0" fontId="33" fillId="0" borderId="53" xfId="0" applyFont="1" applyBorder="1" applyAlignment="1">
      <alignment vertical="top" wrapText="1"/>
    </xf>
    <xf numFmtId="0" fontId="33" fillId="0" borderId="39" xfId="0" applyFont="1" applyBorder="1" applyAlignment="1">
      <alignment vertical="top" wrapText="1"/>
    </xf>
    <xf numFmtId="0" fontId="33" fillId="0" borderId="38" xfId="0" applyFont="1" applyBorder="1" applyAlignment="1">
      <alignment vertical="top" wrapText="1"/>
    </xf>
    <xf numFmtId="2" fontId="28" fillId="2" borderId="13" xfId="0" applyNumberFormat="1" applyFont="1" applyFill="1" applyBorder="1" applyAlignment="1">
      <alignment horizontal="center" vertical="center" wrapText="1"/>
    </xf>
    <xf numFmtId="2" fontId="28" fillId="2" borderId="4" xfId="0" applyNumberFormat="1" applyFont="1" applyFill="1" applyBorder="1" applyAlignment="1">
      <alignment horizontal="center" vertical="center" wrapText="1"/>
    </xf>
    <xf numFmtId="2" fontId="28" fillId="2" borderId="60" xfId="0" applyNumberFormat="1" applyFont="1" applyFill="1" applyBorder="1" applyAlignment="1">
      <alignment horizontal="center" vertical="center" wrapText="1"/>
    </xf>
    <xf numFmtId="0" fontId="31" fillId="0" borderId="46" xfId="0" applyFon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31" fillId="0" borderId="82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center"/>
    </xf>
    <xf numFmtId="0" fontId="33" fillId="0" borderId="83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33" fillId="0" borderId="41" xfId="0" applyFont="1" applyBorder="1" applyAlignment="1">
      <alignment vertical="top" wrapText="1"/>
    </xf>
    <xf numFmtId="0" fontId="28" fillId="5" borderId="88" xfId="0" applyFont="1" applyFill="1" applyBorder="1" applyAlignment="1">
      <alignment horizontal="center" vertical="center" wrapText="1"/>
    </xf>
    <xf numFmtId="0" fontId="28" fillId="5" borderId="9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/>
    <xf numFmtId="0" fontId="59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top" wrapText="1"/>
    </xf>
    <xf numFmtId="0" fontId="61" fillId="0" borderId="0" xfId="0" applyFont="1" applyFill="1" applyAlignment="1">
      <alignment horizontal="left" vertical="top" wrapText="1"/>
    </xf>
    <xf numFmtId="0" fontId="58" fillId="0" borderId="0" xfId="0" applyFont="1" applyFill="1" applyAlignment="1">
      <alignment vertical="center" wrapText="1"/>
    </xf>
    <xf numFmtId="0" fontId="65" fillId="0" borderId="7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 wrapText="1"/>
    </xf>
    <xf numFmtId="0" fontId="65" fillId="0" borderId="8" xfId="0" applyFont="1" applyFill="1" applyBorder="1" applyAlignment="1">
      <alignment horizontal="center" vertical="center" textRotation="90" wrapText="1"/>
    </xf>
    <xf numFmtId="0" fontId="65" fillId="0" borderId="9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4" fontId="65" fillId="0" borderId="15" xfId="0" applyNumberFormat="1" applyFont="1" applyFill="1" applyBorder="1" applyAlignment="1">
      <alignment horizontal="center" vertical="center" wrapText="1"/>
    </xf>
    <xf numFmtId="4" fontId="65" fillId="0" borderId="18" xfId="0" applyNumberFormat="1" applyFont="1" applyFill="1" applyBorder="1" applyAlignment="1">
      <alignment vertical="center" wrapText="1" shrinkToFit="1"/>
    </xf>
    <xf numFmtId="0" fontId="65" fillId="0" borderId="72" xfId="0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75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68" xfId="0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7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4" fontId="65" fillId="0" borderId="6" xfId="0" applyNumberFormat="1" applyFont="1" applyFill="1" applyBorder="1" applyAlignment="1">
      <alignment horizontal="center" vertical="center" wrapText="1"/>
    </xf>
    <xf numFmtId="4" fontId="65" fillId="0" borderId="19" xfId="0" applyNumberFormat="1" applyFont="1" applyFill="1" applyBorder="1" applyAlignment="1">
      <alignment vertical="center" wrapText="1" shrinkToFi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" fontId="65" fillId="0" borderId="11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vertical="center" wrapText="1" shrinkToFit="1"/>
    </xf>
    <xf numFmtId="0" fontId="65" fillId="0" borderId="52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 wrapText="1"/>
    </xf>
    <xf numFmtId="2" fontId="65" fillId="0" borderId="9" xfId="0" applyNumberFormat="1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vertical="center"/>
    </xf>
    <xf numFmtId="0" fontId="65" fillId="0" borderId="55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left"/>
    </xf>
    <xf numFmtId="0" fontId="68" fillId="0" borderId="7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horizontal="center" vertical="center" wrapText="1"/>
    </xf>
    <xf numFmtId="2" fontId="68" fillId="0" borderId="9" xfId="0" applyNumberFormat="1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vertical="center"/>
    </xf>
    <xf numFmtId="3" fontId="65" fillId="0" borderId="11" xfId="0" applyNumberFormat="1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4" fontId="65" fillId="0" borderId="0" xfId="0" applyNumberFormat="1" applyFont="1" applyFill="1" applyBorder="1" applyAlignment="1">
      <alignment vertical="center" wrapText="1" shrinkToFit="1"/>
    </xf>
    <xf numFmtId="0" fontId="69" fillId="0" borderId="0" xfId="0" applyFont="1" applyFill="1" applyAlignment="1">
      <alignment horizontal="left" vertical="top" wrapText="1"/>
    </xf>
    <xf numFmtId="0" fontId="65" fillId="0" borderId="6" xfId="0" applyFont="1" applyFill="1" applyBorder="1" applyAlignment="1">
      <alignment horizontal="center" vertical="center" wrapText="1"/>
    </xf>
    <xf numFmtId="2" fontId="65" fillId="0" borderId="71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vertical="center"/>
    </xf>
    <xf numFmtId="0" fontId="65" fillId="0" borderId="69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62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56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 wrapText="1"/>
    </xf>
    <xf numFmtId="2" fontId="65" fillId="0" borderId="71" xfId="0" applyNumberFormat="1" applyFont="1" applyFill="1" applyBorder="1" applyAlignment="1">
      <alignment horizontal="center" vertical="center" wrapText="1"/>
    </xf>
    <xf numFmtId="0" fontId="74" fillId="0" borderId="0" xfId="0" applyFont="1" applyFill="1"/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left" vertical="top" wrapText="1"/>
    </xf>
    <xf numFmtId="0" fontId="65" fillId="0" borderId="76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73" xfId="0" applyFont="1" applyFill="1" applyBorder="1" applyAlignment="1">
      <alignment horizontal="center" vertical="top" wrapText="1"/>
    </xf>
    <xf numFmtId="0" fontId="65" fillId="0" borderId="6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75" xfId="0" applyFont="1" applyFill="1" applyBorder="1" applyAlignment="1">
      <alignment horizontal="center" wrapText="1"/>
    </xf>
    <xf numFmtId="0" fontId="65" fillId="0" borderId="16" xfId="0" applyFont="1" applyFill="1" applyBorder="1" applyAlignment="1">
      <alignment horizontal="center" wrapText="1"/>
    </xf>
    <xf numFmtId="0" fontId="65" fillId="0" borderId="17" xfId="0" applyFont="1" applyFill="1" applyBorder="1" applyAlignment="1">
      <alignment horizontal="center" wrapText="1"/>
    </xf>
    <xf numFmtId="0" fontId="65" fillId="0" borderId="56" xfId="0" applyFont="1" applyFill="1" applyBorder="1" applyAlignment="1">
      <alignment horizontal="center" wrapText="1"/>
    </xf>
    <xf numFmtId="0" fontId="65" fillId="0" borderId="57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left" wrapText="1"/>
    </xf>
    <xf numFmtId="0" fontId="67" fillId="0" borderId="0" xfId="0" applyFont="1" applyFill="1"/>
    <xf numFmtId="0" fontId="68" fillId="0" borderId="0" xfId="0" applyFont="1" applyFill="1"/>
    <xf numFmtId="0" fontId="65" fillId="0" borderId="22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top" wrapText="1"/>
    </xf>
    <xf numFmtId="0" fontId="65" fillId="0" borderId="19" xfId="0" applyFont="1" applyFill="1" applyBorder="1" applyAlignment="1">
      <alignment horizontal="center" vertical="top" wrapText="1"/>
    </xf>
    <xf numFmtId="0" fontId="66" fillId="0" borderId="0" xfId="0" applyNumberFormat="1" applyFont="1" applyFill="1"/>
    <xf numFmtId="0" fontId="68" fillId="0" borderId="0" xfId="0" applyFont="1" applyFill="1" applyAlignment="1">
      <alignment horizontal="center" vertical="center"/>
    </xf>
    <xf numFmtId="2" fontId="65" fillId="0" borderId="12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wrapText="1"/>
    </xf>
    <xf numFmtId="0" fontId="66" fillId="0" borderId="0" xfId="0" applyFont="1" applyFill="1"/>
    <xf numFmtId="0" fontId="7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75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2" fontId="65" fillId="0" borderId="6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wrapText="1"/>
    </xf>
    <xf numFmtId="0" fontId="65" fillId="0" borderId="56" xfId="0" applyFont="1" applyFill="1" applyBorder="1" applyAlignment="1">
      <alignment horizontal="center" vertical="top" wrapText="1"/>
    </xf>
    <xf numFmtId="0" fontId="65" fillId="0" borderId="57" xfId="0" applyFont="1" applyFill="1" applyBorder="1" applyAlignment="1">
      <alignment horizontal="center" vertical="top" wrapText="1"/>
    </xf>
    <xf numFmtId="0" fontId="65" fillId="0" borderId="58" xfId="0" applyFont="1" applyFill="1" applyBorder="1" applyAlignment="1">
      <alignment horizontal="center" vertical="top" wrapText="1"/>
    </xf>
    <xf numFmtId="49" fontId="66" fillId="0" borderId="0" xfId="0" applyNumberFormat="1" applyFont="1" applyFill="1" applyBorder="1" applyAlignment="1">
      <alignment horizontal="left" wrapText="1"/>
    </xf>
    <xf numFmtId="2" fontId="65" fillId="0" borderId="72" xfId="0" applyNumberFormat="1" applyFont="1" applyFill="1" applyBorder="1" applyAlignment="1">
      <alignment vertical="center" wrapText="1"/>
    </xf>
    <xf numFmtId="0" fontId="77" fillId="0" borderId="7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2" fontId="65" fillId="0" borderId="74" xfId="0" applyNumberFormat="1" applyFont="1" applyFill="1" applyBorder="1" applyAlignment="1">
      <alignment vertical="center" wrapText="1"/>
    </xf>
    <xf numFmtId="2" fontId="65" fillId="0" borderId="0" xfId="0" applyNumberFormat="1" applyFont="1" applyFill="1"/>
    <xf numFmtId="0" fontId="77" fillId="0" borderId="56" xfId="0" applyFont="1" applyFill="1" applyBorder="1" applyAlignment="1">
      <alignment horizontal="center" vertical="center" wrapText="1"/>
    </xf>
    <xf numFmtId="0" fontId="77" fillId="0" borderId="57" xfId="0" applyFont="1" applyFill="1" applyBorder="1" applyAlignment="1">
      <alignment horizontal="center" vertical="center" wrapText="1"/>
    </xf>
    <xf numFmtId="0" fontId="77" fillId="0" borderId="58" xfId="0" applyFont="1" applyFill="1" applyBorder="1" applyAlignment="1">
      <alignment horizontal="center" vertical="center" wrapText="1"/>
    </xf>
    <xf numFmtId="2" fontId="65" fillId="0" borderId="52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/>
    </xf>
    <xf numFmtId="0" fontId="65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 wrapText="1"/>
    </xf>
    <xf numFmtId="2" fontId="65" fillId="0" borderId="28" xfId="0" applyNumberFormat="1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2" fontId="65" fillId="0" borderId="51" xfId="0" applyNumberFormat="1" applyFont="1" applyFill="1" applyBorder="1" applyAlignment="1">
      <alignment horizontal="center" vertical="center" wrapText="1"/>
    </xf>
    <xf numFmtId="2" fontId="65" fillId="0" borderId="68" xfId="0" applyNumberFormat="1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/>
    </xf>
    <xf numFmtId="0" fontId="65" fillId="0" borderId="25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2" fontId="65" fillId="0" borderId="51" xfId="0" applyNumberFormat="1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2" fontId="65" fillId="0" borderId="52" xfId="0" applyNumberFormat="1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/>
    </xf>
    <xf numFmtId="0" fontId="65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5" fillId="0" borderId="62" xfId="0" applyFont="1" applyFill="1" applyBorder="1" applyAlignment="1">
      <alignment horizontal="center" vertical="center" wrapText="1"/>
    </xf>
    <xf numFmtId="0" fontId="65" fillId="0" borderId="72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8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8" fillId="0" borderId="0" xfId="0" applyFont="1" applyFill="1"/>
    <xf numFmtId="0" fontId="65" fillId="0" borderId="9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top" wrapText="1"/>
    </xf>
    <xf numFmtId="0" fontId="65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1" fontId="65" fillId="0" borderId="6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top" wrapText="1"/>
    </xf>
    <xf numFmtId="0" fontId="65" fillId="0" borderId="7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top" wrapText="1"/>
    </xf>
    <xf numFmtId="1" fontId="65" fillId="0" borderId="11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1" fontId="65" fillId="0" borderId="0" xfId="0" applyNumberFormat="1" applyFont="1" applyFill="1"/>
    <xf numFmtId="0" fontId="65" fillId="0" borderId="73" xfId="0" applyFont="1" applyFill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/>
    </xf>
    <xf numFmtId="2" fontId="65" fillId="0" borderId="6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66" fillId="0" borderId="54" xfId="0" applyFont="1" applyFill="1" applyBorder="1" applyAlignment="1"/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2" fontId="65" fillId="0" borderId="18" xfId="0" applyNumberFormat="1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2" fontId="65" fillId="0" borderId="8" xfId="0" applyNumberFormat="1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/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65" fillId="0" borderId="74" xfId="0" applyFont="1" applyFill="1" applyBorder="1" applyAlignment="1">
      <alignment horizontal="center"/>
    </xf>
    <xf numFmtId="2" fontId="58" fillId="0" borderId="0" xfId="0" applyNumberFormat="1" applyFont="1" applyFill="1"/>
    <xf numFmtId="0" fontId="66" fillId="0" borderId="75" xfId="0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left"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5</xdr:col>
      <xdr:colOff>7620</xdr:colOff>
      <xdr:row>38</xdr:row>
      <xdr:rowOff>533400</xdr:rowOff>
    </xdr:to>
    <xdr:grpSp>
      <xdr:nvGrpSpPr>
        <xdr:cNvPr id="2049" name="Group 50675"/>
        <xdr:cNvGrpSpPr>
          <a:grpSpLocks/>
        </xdr:cNvGrpSpPr>
      </xdr:nvGrpSpPr>
      <xdr:grpSpPr bwMode="auto">
        <a:xfrm>
          <a:off x="4867275" y="13287375"/>
          <a:ext cx="7620" cy="533400"/>
          <a:chOff x="0" y="0"/>
          <a:chExt cx="106" cy="5318"/>
        </a:xfrm>
      </xdr:grpSpPr>
      <xdr:sp macro="" textlink="">
        <xdr:nvSpPr>
          <xdr:cNvPr id="2051" name="Shape 59626"/>
          <xdr:cNvSpPr>
            <a:spLocks/>
          </xdr:cNvSpPr>
        </xdr:nvSpPr>
        <xdr:spPr bwMode="auto">
          <a:xfrm>
            <a:off x="0" y="0"/>
            <a:ext cx="106" cy="167"/>
          </a:xfrm>
          <a:custGeom>
            <a:avLst/>
            <a:gdLst>
              <a:gd name="T0" fmla="*/ 0 w 10668"/>
              <a:gd name="T1" fmla="*/ 0 h 16764"/>
              <a:gd name="T2" fmla="*/ 10668 w 10668"/>
              <a:gd name="T3" fmla="*/ 0 h 16764"/>
              <a:gd name="T4" fmla="*/ 10668 w 10668"/>
              <a:gd name="T5" fmla="*/ 16764 h 16764"/>
              <a:gd name="T6" fmla="*/ 0 w 10668"/>
              <a:gd name="T7" fmla="*/ 16764 h 16764"/>
              <a:gd name="T8" fmla="*/ 0 w 10668"/>
              <a:gd name="T9" fmla="*/ 0 h 16764"/>
              <a:gd name="T10" fmla="*/ 0 w 10668"/>
              <a:gd name="T11" fmla="*/ 0 h 16764"/>
              <a:gd name="T12" fmla="*/ 10668 w 10668"/>
              <a:gd name="T13" fmla="*/ 16764 h 167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0668" h="16764">
                <a:moveTo>
                  <a:pt x="0" y="0"/>
                </a:moveTo>
                <a:lnTo>
                  <a:pt x="10668" y="0"/>
                </a:lnTo>
                <a:lnTo>
                  <a:pt x="10668" y="16764"/>
                </a:lnTo>
                <a:lnTo>
                  <a:pt x="0" y="16764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>
            <a:noFill/>
            <a:miter lim="127000"/>
            <a:headEnd/>
            <a:tailEnd/>
          </a:ln>
        </xdr:spPr>
      </xdr:sp>
      <xdr:sp macro="" textlink="">
        <xdr:nvSpPr>
          <xdr:cNvPr id="2050" name="Shape 59627"/>
          <xdr:cNvSpPr>
            <a:spLocks/>
          </xdr:cNvSpPr>
        </xdr:nvSpPr>
        <xdr:spPr bwMode="auto">
          <a:xfrm>
            <a:off x="0" y="167"/>
            <a:ext cx="106" cy="5151"/>
          </a:xfrm>
          <a:custGeom>
            <a:avLst/>
            <a:gdLst>
              <a:gd name="T0" fmla="*/ 0 w 10668"/>
              <a:gd name="T1" fmla="*/ 0 h 515112"/>
              <a:gd name="T2" fmla="*/ 10668 w 10668"/>
              <a:gd name="T3" fmla="*/ 0 h 515112"/>
              <a:gd name="T4" fmla="*/ 10668 w 10668"/>
              <a:gd name="T5" fmla="*/ 515112 h 515112"/>
              <a:gd name="T6" fmla="*/ 0 w 10668"/>
              <a:gd name="T7" fmla="*/ 515112 h 515112"/>
              <a:gd name="T8" fmla="*/ 0 w 10668"/>
              <a:gd name="T9" fmla="*/ 0 h 515112"/>
              <a:gd name="T10" fmla="*/ 0 w 10668"/>
              <a:gd name="T11" fmla="*/ 0 h 515112"/>
              <a:gd name="T12" fmla="*/ 10668 w 10668"/>
              <a:gd name="T13" fmla="*/ 515112 h 515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0668" h="515112">
                <a:moveTo>
                  <a:pt x="0" y="0"/>
                </a:moveTo>
                <a:lnTo>
                  <a:pt x="10668" y="0"/>
                </a:lnTo>
                <a:lnTo>
                  <a:pt x="10668" y="515112"/>
                </a:lnTo>
                <a:lnTo>
                  <a:pt x="0" y="515112"/>
                </a:lnTo>
                <a:lnTo>
                  <a:pt x="0" y="0"/>
                </a:lnTo>
              </a:path>
            </a:pathLst>
          </a:custGeom>
          <a:solidFill>
            <a:srgbClr val="000000"/>
          </a:solidFill>
          <a:ln w="0">
            <a:noFill/>
            <a:miter lim="127000"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0</xdr:rowOff>
        </xdr:from>
        <xdr:to>
          <xdr:col>11</xdr:col>
          <xdr:colOff>304800</xdr:colOff>
          <xdr:row>34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0</xdr:rowOff>
        </xdr:from>
        <xdr:to>
          <xdr:col>1</xdr:col>
          <xdr:colOff>171450</xdr:colOff>
          <xdr:row>72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7"/>
  <sheetViews>
    <sheetView tabSelected="1" zoomScale="145" zoomScaleNormal="145" workbookViewId="0">
      <selection activeCell="M5" sqref="M5"/>
    </sheetView>
  </sheetViews>
  <sheetFormatPr defaultRowHeight="15"/>
  <cols>
    <col min="1" max="1" width="4" customWidth="1"/>
    <col min="2" max="2" width="15" customWidth="1"/>
    <col min="3" max="3" width="6.85546875" customWidth="1"/>
    <col min="4" max="4" width="8.85546875" customWidth="1"/>
    <col min="5" max="5" width="10.5703125" customWidth="1"/>
    <col min="6" max="6" width="8.42578125" customWidth="1"/>
    <col min="8" max="8" width="10" customWidth="1"/>
    <col min="13" max="13" width="5.7109375" customWidth="1"/>
    <col min="14" max="14" width="5.28515625" customWidth="1"/>
    <col min="15" max="15" width="7" customWidth="1"/>
    <col min="16" max="16" width="9.140625" style="19"/>
    <col min="24" max="24" width="6.42578125" customWidth="1"/>
  </cols>
  <sheetData>
    <row r="2" spans="1:16">
      <c r="A2" s="184" t="s">
        <v>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6" ht="15.75" thickBot="1">
      <c r="A3" s="185" t="s">
        <v>165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6" ht="15.6" customHeight="1">
      <c r="A4" s="186" t="s">
        <v>0</v>
      </c>
      <c r="B4" s="188" t="s">
        <v>1</v>
      </c>
      <c r="C4" s="188" t="s">
        <v>2</v>
      </c>
      <c r="D4" s="188" t="s">
        <v>3</v>
      </c>
      <c r="E4" s="188" t="s">
        <v>307</v>
      </c>
      <c r="F4" s="188" t="s">
        <v>4</v>
      </c>
      <c r="G4" s="188" t="s">
        <v>308</v>
      </c>
      <c r="H4" s="188" t="s">
        <v>309</v>
      </c>
      <c r="I4" s="188" t="s">
        <v>310</v>
      </c>
      <c r="J4" s="188" t="s">
        <v>5</v>
      </c>
      <c r="K4" s="188" t="s">
        <v>311</v>
      </c>
      <c r="L4" s="188" t="s">
        <v>312</v>
      </c>
      <c r="M4" s="191" t="s">
        <v>7</v>
      </c>
      <c r="N4" s="191"/>
      <c r="O4" s="192"/>
    </row>
    <row r="5" spans="1:16" ht="70.150000000000006" customHeight="1" thickBot="1">
      <c r="A5" s="187"/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" t="s">
        <v>8</v>
      </c>
      <c r="N5" s="1" t="s">
        <v>9</v>
      </c>
      <c r="O5" s="163" t="s">
        <v>10</v>
      </c>
      <c r="P5" s="164" t="s">
        <v>288</v>
      </c>
    </row>
    <row r="6" spans="1:16" ht="17.25" thickBot="1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5">
        <v>12</v>
      </c>
      <c r="M6" s="12">
        <v>13</v>
      </c>
      <c r="N6" s="16">
        <v>14</v>
      </c>
      <c r="O6" s="17">
        <v>15</v>
      </c>
      <c r="P6" s="17">
        <v>16</v>
      </c>
    </row>
    <row r="7" spans="1:16" ht="16.5" thickBot="1">
      <c r="A7" s="2">
        <v>1</v>
      </c>
      <c r="B7" s="7" t="s">
        <v>12</v>
      </c>
      <c r="C7" s="31">
        <v>3000</v>
      </c>
      <c r="D7" s="30">
        <f>'სხვა განაცემები'!R6</f>
        <v>3353.3333333333335</v>
      </c>
      <c r="E7" s="30">
        <f>C7+D7</f>
        <v>6353.3333333333339</v>
      </c>
      <c r="F7" s="29"/>
      <c r="G7" s="30">
        <f>E7*2%</f>
        <v>127.06666666666668</v>
      </c>
      <c r="H7" s="30">
        <f>E7-G7</f>
        <v>6226.2666666666673</v>
      </c>
      <c r="I7" s="30">
        <f>H7*20%</f>
        <v>1245.2533333333336</v>
      </c>
      <c r="J7" s="30">
        <f>'სხვა განაცემები'!AH6</f>
        <v>2543.3333333333335</v>
      </c>
      <c r="K7" s="30">
        <f>G7+I7+J7</f>
        <v>3915.6533333333336</v>
      </c>
      <c r="L7" s="30">
        <f>E7-K7</f>
        <v>2437.6800000000003</v>
      </c>
      <c r="M7" s="29"/>
      <c r="N7" s="29"/>
      <c r="O7" s="29"/>
    </row>
    <row r="8" spans="1:16" ht="16.5" thickBot="1">
      <c r="A8" s="3">
        <v>2</v>
      </c>
      <c r="B8" s="7" t="s">
        <v>13</v>
      </c>
      <c r="C8" s="32">
        <v>1600</v>
      </c>
      <c r="D8" s="30">
        <f>'სხვა განაცემები'!R7</f>
        <v>872.8767123287671</v>
      </c>
      <c r="E8" s="30">
        <f t="shared" ref="E8:E14" si="0">C8+D8</f>
        <v>2472.8767123287671</v>
      </c>
      <c r="F8" s="25">
        <v>2600</v>
      </c>
      <c r="G8" s="30">
        <f t="shared" ref="G8:G10" si="1">E8*2%</f>
        <v>49.457534246575342</v>
      </c>
      <c r="H8" s="25">
        <v>0</v>
      </c>
      <c r="I8" s="29">
        <f t="shared" ref="I8:I14" si="2">H8*20%</f>
        <v>0</v>
      </c>
      <c r="J8" s="30">
        <f>'სხვა განაცემები'!AH7</f>
        <v>492.8767123287671</v>
      </c>
      <c r="K8" s="30">
        <f t="shared" ref="K8:K14" si="3">G8+I8+J8</f>
        <v>542.33424657534249</v>
      </c>
      <c r="L8" s="30">
        <f t="shared" ref="L8:L15" si="4">E8-K8</f>
        <v>1930.5424657534245</v>
      </c>
      <c r="M8" s="25"/>
      <c r="N8" s="25"/>
      <c r="O8" s="25"/>
      <c r="P8" s="165">
        <v>6000</v>
      </c>
    </row>
    <row r="9" spans="1:16" ht="16.5" thickBot="1">
      <c r="A9" s="3">
        <v>3</v>
      </c>
      <c r="B9" s="7" t="s">
        <v>72</v>
      </c>
      <c r="C9" s="32">
        <v>1800</v>
      </c>
      <c r="D9" s="29">
        <f>'სხვა განაცემები'!R8</f>
        <v>2340</v>
      </c>
      <c r="E9" s="30">
        <f t="shared" si="0"/>
        <v>4140</v>
      </c>
      <c r="F9" s="25"/>
      <c r="G9" s="30">
        <f t="shared" si="1"/>
        <v>82.8</v>
      </c>
      <c r="H9" s="26">
        <f>E9-G9</f>
        <v>4057.2</v>
      </c>
      <c r="I9" s="29">
        <f t="shared" si="2"/>
        <v>811.44</v>
      </c>
      <c r="J9" s="30">
        <f>'სხვა განაცემები'!AH8</f>
        <v>2460</v>
      </c>
      <c r="K9" s="30">
        <f t="shared" si="3"/>
        <v>3354.24</v>
      </c>
      <c r="L9" s="30">
        <f t="shared" si="4"/>
        <v>785.76000000000022</v>
      </c>
      <c r="M9" s="25"/>
      <c r="N9" s="25"/>
      <c r="O9" s="25"/>
    </row>
    <row r="10" spans="1:16" ht="16.5" thickBot="1">
      <c r="A10" s="3">
        <v>4</v>
      </c>
      <c r="B10" s="7" t="s">
        <v>18</v>
      </c>
      <c r="C10" s="32">
        <v>2400</v>
      </c>
      <c r="D10" s="29">
        <f>'სხვა განაცემები'!R9</f>
        <v>915</v>
      </c>
      <c r="E10" s="30">
        <f t="shared" si="0"/>
        <v>3315</v>
      </c>
      <c r="F10" s="25">
        <v>2100</v>
      </c>
      <c r="G10" s="30">
        <f t="shared" si="1"/>
        <v>66.3</v>
      </c>
      <c r="H10" s="26">
        <v>0</v>
      </c>
      <c r="I10" s="29">
        <f t="shared" si="2"/>
        <v>0</v>
      </c>
      <c r="J10" s="30">
        <f>'სხვა განაცემები'!AH9</f>
        <v>605</v>
      </c>
      <c r="K10" s="30">
        <f t="shared" si="3"/>
        <v>671.3</v>
      </c>
      <c r="L10" s="30">
        <f t="shared" si="4"/>
        <v>2643.7</v>
      </c>
      <c r="M10" s="25"/>
      <c r="N10" s="25"/>
      <c r="O10" s="25"/>
      <c r="P10" s="165">
        <v>6000</v>
      </c>
    </row>
    <row r="11" spans="1:16" ht="16.5" thickBot="1">
      <c r="A11" s="3">
        <v>5</v>
      </c>
      <c r="B11" s="7" t="s">
        <v>17</v>
      </c>
      <c r="C11" s="32">
        <v>2900</v>
      </c>
      <c r="D11" s="29">
        <f>'სხვა განაცემები'!R10</f>
        <v>2173.5</v>
      </c>
      <c r="E11" s="30">
        <f t="shared" si="0"/>
        <v>5073.5</v>
      </c>
      <c r="F11" s="25"/>
      <c r="G11" s="25">
        <v>0</v>
      </c>
      <c r="H11" s="26">
        <f>E11-G11</f>
        <v>5073.5</v>
      </c>
      <c r="I11" s="29">
        <f t="shared" si="2"/>
        <v>1014.7</v>
      </c>
      <c r="J11" s="30">
        <f>'სხვა განაცემები'!AH10</f>
        <v>2154.6999999999998</v>
      </c>
      <c r="K11" s="30">
        <f t="shared" si="3"/>
        <v>3169.3999999999996</v>
      </c>
      <c r="L11" s="30">
        <f t="shared" si="4"/>
        <v>1904.1000000000004</v>
      </c>
      <c r="M11" s="25"/>
      <c r="N11" s="25"/>
      <c r="O11" s="25"/>
    </row>
    <row r="12" spans="1:16" ht="16.5" thickBot="1">
      <c r="A12" s="3">
        <v>6</v>
      </c>
      <c r="B12" s="7" t="s">
        <v>16</v>
      </c>
      <c r="C12" s="32">
        <v>1700</v>
      </c>
      <c r="D12" s="29">
        <f>'სხვა განაცემები'!R11</f>
        <v>6171.25</v>
      </c>
      <c r="E12" s="30">
        <f t="shared" si="0"/>
        <v>7871.25</v>
      </c>
      <c r="F12" s="25">
        <v>4000</v>
      </c>
      <c r="G12" s="25">
        <v>0</v>
      </c>
      <c r="H12" s="26">
        <f>E12-G12</f>
        <v>7871.25</v>
      </c>
      <c r="I12" s="29">
        <f t="shared" si="2"/>
        <v>1574.25</v>
      </c>
      <c r="J12" s="30">
        <f>'სხვა განაცემები'!AH11</f>
        <v>860</v>
      </c>
      <c r="K12" s="30">
        <f t="shared" si="3"/>
        <v>2434.25</v>
      </c>
      <c r="L12" s="30">
        <f t="shared" si="4"/>
        <v>5437</v>
      </c>
      <c r="M12" s="25"/>
      <c r="N12" s="25"/>
      <c r="O12" s="25"/>
      <c r="P12" s="165">
        <v>3000</v>
      </c>
    </row>
    <row r="13" spans="1:16" ht="15.75">
      <c r="A13" s="3">
        <v>7</v>
      </c>
      <c r="B13" s="20" t="s">
        <v>15</v>
      </c>
      <c r="C13" s="33">
        <v>1600</v>
      </c>
      <c r="D13" s="181">
        <f>'სხვა განაცემები'!R12</f>
        <v>3581.6666666666665</v>
      </c>
      <c r="E13" s="30">
        <f t="shared" si="0"/>
        <v>5181.6666666666661</v>
      </c>
      <c r="F13" s="28">
        <v>5100</v>
      </c>
      <c r="G13" s="28">
        <v>0</v>
      </c>
      <c r="H13" s="34">
        <f>E13+F13-6000</f>
        <v>4281.6666666666661</v>
      </c>
      <c r="I13" s="29">
        <f t="shared" si="2"/>
        <v>856.33333333333326</v>
      </c>
      <c r="J13" s="30">
        <f>'სხვა განაცემები'!AH12</f>
        <v>3501.6666666666665</v>
      </c>
      <c r="K13" s="30">
        <f t="shared" si="3"/>
        <v>4358</v>
      </c>
      <c r="L13" s="30">
        <f t="shared" si="4"/>
        <v>823.66666666666606</v>
      </c>
      <c r="M13" s="28"/>
      <c r="N13" s="28"/>
      <c r="O13" s="28"/>
      <c r="P13" s="165">
        <v>6000</v>
      </c>
    </row>
    <row r="14" spans="1:16" ht="32.25" thickBot="1">
      <c r="A14" s="44">
        <v>8</v>
      </c>
      <c r="B14" s="44" t="s">
        <v>82</v>
      </c>
      <c r="C14" s="33">
        <v>0</v>
      </c>
      <c r="D14" s="38">
        <f>'სხვა განაცემები'!R13</f>
        <v>1260</v>
      </c>
      <c r="E14" s="36">
        <f t="shared" si="0"/>
        <v>1260</v>
      </c>
      <c r="F14" s="28">
        <v>1000</v>
      </c>
      <c r="G14" s="28">
        <f>E14*2%</f>
        <v>25.2</v>
      </c>
      <c r="H14" s="28">
        <v>0</v>
      </c>
      <c r="I14" s="38">
        <f t="shared" si="2"/>
        <v>0</v>
      </c>
      <c r="J14" s="36">
        <f>'სხვა განაცემები'!AH13</f>
        <v>360</v>
      </c>
      <c r="K14" s="30">
        <f t="shared" si="3"/>
        <v>385.2</v>
      </c>
      <c r="L14" s="36">
        <f t="shared" si="4"/>
        <v>874.8</v>
      </c>
      <c r="M14" s="25"/>
      <c r="N14" s="25"/>
      <c r="O14" s="25"/>
      <c r="P14" s="165">
        <v>3000</v>
      </c>
    </row>
    <row r="15" spans="1:16" ht="15.75" thickBot="1">
      <c r="A15" s="193" t="s">
        <v>11</v>
      </c>
      <c r="B15" s="194"/>
      <c r="C15" s="124">
        <f>SUM(C7:C13)</f>
        <v>15000</v>
      </c>
      <c r="D15" s="45">
        <f>SUM(D7:D14)</f>
        <v>20667.626712328769</v>
      </c>
      <c r="E15" s="46">
        <f>SUM(E7:E14)</f>
        <v>35667.626712328769</v>
      </c>
      <c r="F15" s="45"/>
      <c r="G15" s="47">
        <f>SUM(G7:G14)</f>
        <v>350.82420091324201</v>
      </c>
      <c r="H15" s="39">
        <f>SUM(H7:H13)</f>
        <v>27509.883333333331</v>
      </c>
      <c r="I15" s="40">
        <f>SUM(I7:I13)</f>
        <v>5501.9766666666665</v>
      </c>
      <c r="J15" s="41">
        <f>SUM(J7:J14)</f>
        <v>12977.576712328768</v>
      </c>
      <c r="K15" s="42">
        <f>SUM(K7:K14)</f>
        <v>18830.377579908676</v>
      </c>
      <c r="L15" s="43">
        <f t="shared" si="4"/>
        <v>16837.249132420093</v>
      </c>
      <c r="M15" s="27"/>
      <c r="N15" s="25"/>
      <c r="O15" s="25"/>
    </row>
    <row r="16" spans="1:16">
      <c r="A16" s="51"/>
      <c r="B16" s="51"/>
      <c r="C16" s="52"/>
      <c r="D16" s="53"/>
      <c r="E16" s="54"/>
      <c r="F16" s="49"/>
      <c r="G16" s="55"/>
      <c r="H16" s="56"/>
      <c r="I16" s="57"/>
      <c r="J16" s="55"/>
      <c r="K16" s="58"/>
      <c r="L16" s="58"/>
      <c r="M16" s="49"/>
      <c r="N16" s="49"/>
      <c r="O16" s="49"/>
    </row>
    <row r="17" spans="1:29">
      <c r="A17" s="51"/>
      <c r="B17" s="51"/>
      <c r="C17" s="52"/>
      <c r="D17" s="53"/>
      <c r="E17" s="54"/>
      <c r="F17" s="49"/>
      <c r="G17" s="55"/>
      <c r="H17" s="56"/>
      <c r="I17" s="57"/>
      <c r="J17" s="55"/>
      <c r="K17" s="58"/>
      <c r="L17" s="58"/>
      <c r="M17" s="49"/>
      <c r="N17" s="49"/>
      <c r="O17" s="49"/>
    </row>
    <row r="18" spans="1:29">
      <c r="K18" s="35"/>
      <c r="L18" s="37"/>
    </row>
    <row r="19" spans="1:29" s="5" customFormat="1" ht="34.9" customHeight="1">
      <c r="B19" s="6" t="s">
        <v>19</v>
      </c>
      <c r="C19" s="195" t="s">
        <v>46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8"/>
    </row>
    <row r="21" spans="1:29" s="4" customFormat="1">
      <c r="P21" s="161"/>
    </row>
    <row r="22" spans="1:29">
      <c r="K22" s="48"/>
    </row>
    <row r="23" spans="1:29">
      <c r="K23" s="35"/>
      <c r="AB23" s="19"/>
      <c r="AC23" s="19"/>
    </row>
    <row r="24" spans="1:29">
      <c r="A24" s="123"/>
      <c r="B24" s="123"/>
      <c r="C24" s="123"/>
      <c r="D24" s="123"/>
      <c r="E24" s="123"/>
      <c r="F24" s="19"/>
      <c r="G24" s="19"/>
      <c r="H24" s="19"/>
      <c r="I24" s="19"/>
      <c r="J24" s="19"/>
      <c r="K24" s="19"/>
      <c r="L24" s="19"/>
      <c r="M24" s="19"/>
      <c r="N24" s="19"/>
      <c r="O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>
      <c r="A25" s="123"/>
      <c r="B25" s="123"/>
      <c r="C25" s="123"/>
      <c r="D25" s="123"/>
      <c r="E25" s="123"/>
      <c r="F25" s="19"/>
      <c r="G25" s="19"/>
      <c r="H25" s="19"/>
      <c r="I25" s="19"/>
      <c r="J25" s="19"/>
      <c r="K25" s="19"/>
      <c r="L25" s="19"/>
      <c r="M25" s="19"/>
      <c r="N25" s="19"/>
      <c r="O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>
      <c r="A26" s="123"/>
      <c r="B26" s="123"/>
      <c r="C26" s="123"/>
      <c r="D26" s="123"/>
      <c r="E26" s="123"/>
      <c r="F26" s="19"/>
      <c r="G26" s="19"/>
      <c r="H26" s="19"/>
      <c r="I26" s="19"/>
      <c r="J26" s="19"/>
      <c r="K26" s="19"/>
      <c r="L26" s="19"/>
      <c r="M26" s="19"/>
      <c r="N26" s="19"/>
      <c r="O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>
      <c r="A27" s="123"/>
      <c r="B27" s="123"/>
      <c r="C27" s="123"/>
      <c r="D27" s="123"/>
      <c r="E27" s="123"/>
      <c r="F27" s="19"/>
      <c r="G27" s="19"/>
      <c r="H27" s="19"/>
      <c r="I27" s="19"/>
      <c r="J27" s="19"/>
      <c r="K27" s="19"/>
      <c r="L27" s="19"/>
      <c r="M27" s="19"/>
      <c r="N27" s="19"/>
      <c r="O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>
      <c r="A28" s="123"/>
      <c r="B28" s="123"/>
      <c r="C28" s="123"/>
      <c r="D28" s="123"/>
      <c r="E28" s="123"/>
      <c r="F28" s="19"/>
      <c r="G28" s="19"/>
      <c r="H28" s="19"/>
      <c r="I28" s="19"/>
      <c r="J28" s="19"/>
      <c r="K28" s="19"/>
      <c r="L28" s="19"/>
      <c r="M28" s="19"/>
      <c r="N28" s="19"/>
      <c r="O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>
      <c r="A29" s="123"/>
      <c r="B29" s="123"/>
      <c r="C29" s="123"/>
      <c r="D29" s="123"/>
      <c r="E29" s="123"/>
    </row>
    <row r="30" spans="1:29">
      <c r="A30" s="123"/>
      <c r="B30" s="123"/>
      <c r="C30" s="123"/>
      <c r="D30" s="123"/>
      <c r="E30" s="123"/>
    </row>
    <row r="31" spans="1:29">
      <c r="A31" s="123"/>
      <c r="B31" s="123"/>
      <c r="C31" s="123"/>
      <c r="D31" s="123"/>
      <c r="E31" s="123"/>
    </row>
    <row r="32" spans="1:29">
      <c r="A32" s="123"/>
      <c r="B32" s="123"/>
      <c r="C32" s="123"/>
      <c r="D32" s="123"/>
      <c r="E32" s="123"/>
    </row>
    <row r="33" spans="1:5">
      <c r="A33" s="123"/>
      <c r="B33" s="123"/>
      <c r="C33" s="123"/>
      <c r="D33" s="123"/>
      <c r="E33" s="123"/>
    </row>
    <row r="34" spans="1:5">
      <c r="A34" s="123"/>
      <c r="B34" s="123"/>
      <c r="C34" s="123"/>
      <c r="D34" s="123"/>
      <c r="E34" s="123"/>
    </row>
    <row r="35" spans="1:5">
      <c r="A35" s="123"/>
      <c r="B35" s="123"/>
      <c r="C35" s="123"/>
      <c r="D35" s="123"/>
      <c r="E35" s="123"/>
    </row>
    <row r="36" spans="1:5">
      <c r="A36" s="123"/>
      <c r="B36" s="123"/>
      <c r="C36" s="123"/>
      <c r="D36" s="123"/>
      <c r="E36" s="123"/>
    </row>
    <row r="37" spans="1:5">
      <c r="A37" s="123"/>
      <c r="B37" s="123"/>
      <c r="C37" s="123"/>
      <c r="D37" s="123"/>
      <c r="E37" s="123"/>
    </row>
  </sheetData>
  <mergeCells count="17">
    <mergeCell ref="A15:B15"/>
    <mergeCell ref="C19:O19"/>
    <mergeCell ref="H4:H5"/>
    <mergeCell ref="I4:I5"/>
    <mergeCell ref="J4:J5"/>
    <mergeCell ref="K4:K5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M4:O4"/>
    <mergeCell ref="L4:L5"/>
  </mergeCells>
  <printOptions horizontalCentered="1"/>
  <pageMargins left="0.2" right="0.2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opLeftCell="A3" workbookViewId="0">
      <selection activeCell="W12" sqref="W12"/>
    </sheetView>
  </sheetViews>
  <sheetFormatPr defaultRowHeight="15.75"/>
  <cols>
    <col min="1" max="1" width="5.5703125" style="87" customWidth="1"/>
    <col min="2" max="2" width="18.85546875" style="87" customWidth="1"/>
    <col min="3" max="3" width="5.5703125" style="87" customWidth="1"/>
    <col min="4" max="4" width="5.7109375" style="87" customWidth="1"/>
    <col min="5" max="5" width="5.5703125" style="87" bestFit="1" customWidth="1"/>
    <col min="6" max="6" width="6.140625" style="87" bestFit="1" customWidth="1"/>
    <col min="7" max="7" width="9.85546875" style="87" customWidth="1"/>
    <col min="8" max="8" width="5.5703125" style="87" bestFit="1" customWidth="1"/>
    <col min="9" max="9" width="9.42578125" style="87" customWidth="1"/>
    <col min="10" max="13" width="5.5703125" style="87" bestFit="1" customWidth="1"/>
    <col min="14" max="14" width="6.5703125" style="87" customWidth="1"/>
    <col min="15" max="15" width="8.85546875" style="87" customWidth="1"/>
    <col min="16" max="16" width="5.5703125" style="87" bestFit="1" customWidth="1"/>
    <col min="17" max="17" width="6" style="87" customWidth="1"/>
    <col min="18" max="20" width="9.5703125" style="87" customWidth="1"/>
    <col min="21" max="21" width="16.5703125" style="87" customWidth="1"/>
    <col min="22" max="22" width="6" style="87" customWidth="1"/>
    <col min="23" max="23" width="6.140625" style="87" bestFit="1" customWidth="1"/>
    <col min="24" max="24" width="8.5703125" style="87" customWidth="1"/>
    <col min="25" max="25" width="5.5703125" style="87" bestFit="1" customWidth="1"/>
    <col min="26" max="26" width="5.5703125" style="87" customWidth="1"/>
    <col min="27" max="28" width="5.5703125" style="87" bestFit="1" customWidth="1"/>
    <col min="29" max="29" width="5.140625" style="87" customWidth="1"/>
    <col min="30" max="30" width="6" style="87" customWidth="1"/>
    <col min="31" max="31" width="7.42578125" style="87" customWidth="1"/>
    <col min="32" max="32" width="5.5703125" style="87" bestFit="1" customWidth="1"/>
    <col min="33" max="33" width="6.85546875" style="87" customWidth="1"/>
    <col min="34" max="34" width="10.85546875" style="87" customWidth="1"/>
    <col min="35" max="16384" width="9.140625" style="87"/>
  </cols>
  <sheetData>
    <row r="1" spans="1:34" s="116" customFormat="1" ht="33.75" customHeight="1">
      <c r="B1" s="200" t="s">
        <v>254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ht="16.5" thickBot="1">
      <c r="T2" s="172"/>
      <c r="Y2" s="162"/>
      <c r="Z2" s="162"/>
      <c r="AA2" s="162"/>
      <c r="AB2" s="162"/>
      <c r="AC2" s="162"/>
      <c r="AD2" s="162"/>
      <c r="AE2" s="162"/>
    </row>
    <row r="3" spans="1:34" ht="16.5" thickBot="1">
      <c r="A3" s="204" t="s">
        <v>0</v>
      </c>
      <c r="B3" s="196" t="s">
        <v>1</v>
      </c>
      <c r="C3" s="206" t="s">
        <v>60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166"/>
      <c r="T3" s="204" t="s">
        <v>0</v>
      </c>
      <c r="U3" s="196" t="s">
        <v>1</v>
      </c>
      <c r="V3" s="201" t="s">
        <v>286</v>
      </c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3"/>
    </row>
    <row r="4" spans="1:34" ht="97.5" customHeight="1" thickBot="1">
      <c r="A4" s="205"/>
      <c r="B4" s="197"/>
      <c r="C4" s="126" t="s">
        <v>47</v>
      </c>
      <c r="D4" s="126" t="s">
        <v>48</v>
      </c>
      <c r="E4" s="126" t="s">
        <v>50</v>
      </c>
      <c r="F4" s="127" t="s">
        <v>59</v>
      </c>
      <c r="G4" s="126" t="s">
        <v>55</v>
      </c>
      <c r="H4" s="126" t="s">
        <v>56</v>
      </c>
      <c r="I4" s="126" t="s">
        <v>58</v>
      </c>
      <c r="J4" s="126" t="s">
        <v>65</v>
      </c>
      <c r="K4" s="126" t="s">
        <v>66</v>
      </c>
      <c r="L4" s="126" t="s">
        <v>70</v>
      </c>
      <c r="M4" s="126" t="s">
        <v>74</v>
      </c>
      <c r="N4" s="126" t="s">
        <v>77</v>
      </c>
      <c r="O4" s="126" t="s">
        <v>81</v>
      </c>
      <c r="P4" s="126" t="s">
        <v>95</v>
      </c>
      <c r="Q4" s="126" t="s">
        <v>85</v>
      </c>
      <c r="R4" s="126" t="s">
        <v>10</v>
      </c>
      <c r="S4" s="167"/>
      <c r="T4" s="205"/>
      <c r="U4" s="197"/>
      <c r="V4" s="89" t="s">
        <v>48</v>
      </c>
      <c r="W4" s="90" t="s">
        <v>59</v>
      </c>
      <c r="X4" s="89" t="s">
        <v>78</v>
      </c>
      <c r="Y4" s="89" t="s">
        <v>56</v>
      </c>
      <c r="Z4" s="89" t="s">
        <v>58</v>
      </c>
      <c r="AA4" s="89" t="s">
        <v>65</v>
      </c>
      <c r="AB4" s="89" t="s">
        <v>66</v>
      </c>
      <c r="AC4" s="89" t="s">
        <v>70</v>
      </c>
      <c r="AD4" s="89" t="s">
        <v>74</v>
      </c>
      <c r="AE4" s="89" t="s">
        <v>98</v>
      </c>
      <c r="AF4" s="89" t="s">
        <v>81</v>
      </c>
      <c r="AG4" s="89" t="s">
        <v>86</v>
      </c>
      <c r="AH4" s="90" t="s">
        <v>10</v>
      </c>
    </row>
    <row r="5" spans="1:34" ht="17.25" thickBot="1">
      <c r="A5" s="91">
        <v>1</v>
      </c>
      <c r="B5" s="92">
        <v>2</v>
      </c>
      <c r="C5" s="92">
        <f>B5+1</f>
        <v>3</v>
      </c>
      <c r="D5" s="92">
        <f t="shared" ref="D5:R5" si="0">C5+1</f>
        <v>4</v>
      </c>
      <c r="E5" s="92">
        <f t="shared" si="0"/>
        <v>5</v>
      </c>
      <c r="F5" s="92">
        <f t="shared" si="0"/>
        <v>6</v>
      </c>
      <c r="G5" s="92">
        <f t="shared" si="0"/>
        <v>7</v>
      </c>
      <c r="H5" s="92">
        <f t="shared" si="0"/>
        <v>8</v>
      </c>
      <c r="I5" s="92">
        <f t="shared" si="0"/>
        <v>9</v>
      </c>
      <c r="J5" s="92">
        <f t="shared" si="0"/>
        <v>10</v>
      </c>
      <c r="K5" s="92">
        <f t="shared" si="0"/>
        <v>11</v>
      </c>
      <c r="L5" s="92">
        <f t="shared" si="0"/>
        <v>12</v>
      </c>
      <c r="M5" s="92">
        <f t="shared" si="0"/>
        <v>13</v>
      </c>
      <c r="N5" s="92">
        <f t="shared" si="0"/>
        <v>14</v>
      </c>
      <c r="O5" s="92">
        <f t="shared" si="0"/>
        <v>15</v>
      </c>
      <c r="P5" s="92">
        <f t="shared" si="0"/>
        <v>16</v>
      </c>
      <c r="Q5" s="92">
        <f t="shared" si="0"/>
        <v>17</v>
      </c>
      <c r="R5" s="93">
        <f t="shared" si="0"/>
        <v>18</v>
      </c>
      <c r="S5" s="168"/>
      <c r="T5" s="91">
        <v>1</v>
      </c>
      <c r="U5" s="92">
        <v>2</v>
      </c>
      <c r="V5" s="94">
        <v>19</v>
      </c>
      <c r="W5" s="95">
        <f>V5+1</f>
        <v>20</v>
      </c>
      <c r="X5" s="95">
        <f t="shared" ref="X5:AH5" si="1">W5+1</f>
        <v>21</v>
      </c>
      <c r="Y5" s="95">
        <f t="shared" si="1"/>
        <v>22</v>
      </c>
      <c r="Z5" s="95">
        <f t="shared" ref="Z5" si="2">Y5+1</f>
        <v>23</v>
      </c>
      <c r="AA5" s="95">
        <f t="shared" ref="AA5" si="3">Z5+1</f>
        <v>24</v>
      </c>
      <c r="AB5" s="95">
        <f t="shared" ref="AB5" si="4">AA5+1</f>
        <v>25</v>
      </c>
      <c r="AC5" s="95">
        <f t="shared" ref="AC5" si="5">AB5+1</f>
        <v>26</v>
      </c>
      <c r="AD5" s="95">
        <f t="shared" ref="AD5" si="6">AC5+1</f>
        <v>27</v>
      </c>
      <c r="AE5" s="95">
        <f t="shared" ref="AE5" si="7">AD5+1</f>
        <v>28</v>
      </c>
      <c r="AF5" s="95">
        <f t="shared" ref="AF5" si="8">AE5+1</f>
        <v>29</v>
      </c>
      <c r="AG5" s="95">
        <f t="shared" ref="AG5" si="9">AF5+1</f>
        <v>30</v>
      </c>
      <c r="AH5" s="96">
        <f t="shared" si="1"/>
        <v>31</v>
      </c>
    </row>
    <row r="6" spans="1:34" ht="17.25" thickBot="1">
      <c r="A6" s="97">
        <v>1</v>
      </c>
      <c r="B6" s="98" t="s">
        <v>12</v>
      </c>
      <c r="C6" s="99">
        <v>300</v>
      </c>
      <c r="D6" s="100"/>
      <c r="E6" s="100">
        <v>180</v>
      </c>
      <c r="F6" s="100"/>
      <c r="G6" s="101">
        <f>'სამუშაო რვეული'!G16</f>
        <v>2083.3333333333335</v>
      </c>
      <c r="H6" s="100">
        <v>10</v>
      </c>
      <c r="I6" s="100">
        <f>'სამუშაო რვეული'!G28</f>
        <v>530</v>
      </c>
      <c r="J6" s="100">
        <v>0</v>
      </c>
      <c r="K6" s="100"/>
      <c r="L6" s="100"/>
      <c r="M6" s="100">
        <f>'სამუშაო რვეული'!G71</f>
        <v>250</v>
      </c>
      <c r="N6" s="100"/>
      <c r="O6" s="100"/>
      <c r="P6" s="100"/>
      <c r="Q6" s="100"/>
      <c r="R6" s="101">
        <f>SUM(C6:Q6)</f>
        <v>3353.3333333333335</v>
      </c>
      <c r="S6" s="169"/>
      <c r="T6" s="97">
        <v>1</v>
      </c>
      <c r="U6" s="98" t="s">
        <v>12</v>
      </c>
      <c r="V6" s="100"/>
      <c r="W6" s="100"/>
      <c r="X6" s="101">
        <f>'სამუშაო რვეული'!G17</f>
        <v>2083.3333333333335</v>
      </c>
      <c r="Y6" s="102">
        <v>10</v>
      </c>
      <c r="Z6" s="102">
        <v>100</v>
      </c>
      <c r="AA6" s="100">
        <v>0</v>
      </c>
      <c r="AB6" s="100"/>
      <c r="AC6" s="100"/>
      <c r="AD6" s="100">
        <f>'სამუშაო რვეული'!G72+'სამუშაო რვეული'!G73</f>
        <v>350</v>
      </c>
      <c r="AE6" s="100"/>
      <c r="AF6" s="100"/>
      <c r="AG6" s="100"/>
      <c r="AH6" s="101">
        <f>SUM(V6:AG6)</f>
        <v>2543.3333333333335</v>
      </c>
    </row>
    <row r="7" spans="1:34" ht="17.25" thickBot="1">
      <c r="A7" s="103">
        <v>2</v>
      </c>
      <c r="B7" s="98" t="s">
        <v>13</v>
      </c>
      <c r="C7" s="104">
        <v>300</v>
      </c>
      <c r="D7" s="105"/>
      <c r="E7" s="105">
        <v>180</v>
      </c>
      <c r="F7" s="105"/>
      <c r="G7" s="105"/>
      <c r="H7" s="105">
        <v>10</v>
      </c>
      <c r="I7" s="105"/>
      <c r="J7" s="105">
        <f>'სამუშაო რვეული'!G47</f>
        <v>100</v>
      </c>
      <c r="K7" s="105"/>
      <c r="L7" s="105"/>
      <c r="M7" s="105">
        <v>250</v>
      </c>
      <c r="N7" s="106">
        <f>'სამუშაო რვეული'!G77</f>
        <v>32.876712328767127</v>
      </c>
      <c r="O7" s="105"/>
      <c r="P7" s="105"/>
      <c r="Q7" s="105"/>
      <c r="R7" s="101">
        <f t="shared" ref="R7:R13" si="10">SUM(C7:Q7)</f>
        <v>872.8767123287671</v>
      </c>
      <c r="S7" s="169"/>
      <c r="T7" s="103">
        <v>2</v>
      </c>
      <c r="U7" s="98" t="s">
        <v>13</v>
      </c>
      <c r="V7" s="105"/>
      <c r="W7" s="105"/>
      <c r="X7" s="105"/>
      <c r="Y7" s="107">
        <v>10</v>
      </c>
      <c r="Z7" s="107"/>
      <c r="AA7" s="105">
        <f t="shared" ref="AA7:AA13" si="11">J7</f>
        <v>100</v>
      </c>
      <c r="AB7" s="105"/>
      <c r="AC7" s="105"/>
      <c r="AD7" s="105">
        <f>AD6</f>
        <v>350</v>
      </c>
      <c r="AE7" s="106">
        <f>'სამუშაო რვეული'!G78</f>
        <v>32.876712328767127</v>
      </c>
      <c r="AF7" s="105"/>
      <c r="AG7" s="105"/>
      <c r="AH7" s="101">
        <f t="shared" ref="AH7:AH13" si="12">SUM(V7:AG7)</f>
        <v>492.8767123287671</v>
      </c>
    </row>
    <row r="8" spans="1:34" ht="17.25" customHeight="1" thickBot="1">
      <c r="A8" s="103">
        <v>3</v>
      </c>
      <c r="B8" s="98" t="s">
        <v>72</v>
      </c>
      <c r="C8" s="104">
        <v>300</v>
      </c>
      <c r="D8" s="105"/>
      <c r="E8" s="105">
        <v>180</v>
      </c>
      <c r="F8" s="105"/>
      <c r="G8" s="105"/>
      <c r="H8" s="105">
        <v>10</v>
      </c>
      <c r="I8" s="105"/>
      <c r="J8" s="105">
        <v>100</v>
      </c>
      <c r="K8" s="105"/>
      <c r="L8" s="105"/>
      <c r="M8" s="105">
        <v>250</v>
      </c>
      <c r="N8" s="105"/>
      <c r="O8" s="105">
        <v>1500</v>
      </c>
      <c r="P8" s="105"/>
      <c r="Q8" s="105"/>
      <c r="R8" s="100">
        <f t="shared" si="10"/>
        <v>2340</v>
      </c>
      <c r="S8" s="170"/>
      <c r="T8" s="103">
        <v>3</v>
      </c>
      <c r="U8" s="98" t="s">
        <v>72</v>
      </c>
      <c r="V8" s="105"/>
      <c r="W8" s="105"/>
      <c r="X8" s="105"/>
      <c r="Y8" s="107">
        <v>10</v>
      </c>
      <c r="Z8" s="107"/>
      <c r="AA8" s="105">
        <f t="shared" si="11"/>
        <v>100</v>
      </c>
      <c r="AB8" s="105"/>
      <c r="AC8" s="105">
        <f>'სამუშაო რვეული'!G67</f>
        <v>500</v>
      </c>
      <c r="AD8" s="105">
        <f t="shared" ref="AD8:AD13" si="13">AD7</f>
        <v>350</v>
      </c>
      <c r="AE8" s="105"/>
      <c r="AF8" s="105">
        <f>O8</f>
        <v>1500</v>
      </c>
      <c r="AG8" s="105"/>
      <c r="AH8" s="100">
        <f t="shared" si="12"/>
        <v>2460</v>
      </c>
    </row>
    <row r="9" spans="1:34" ht="17.25" thickBot="1">
      <c r="A9" s="103">
        <v>4</v>
      </c>
      <c r="B9" s="98" t="s">
        <v>18</v>
      </c>
      <c r="C9" s="104">
        <v>300</v>
      </c>
      <c r="D9" s="105"/>
      <c r="E9" s="105">
        <v>180</v>
      </c>
      <c r="F9" s="105"/>
      <c r="G9" s="105"/>
      <c r="H9" s="105">
        <v>10</v>
      </c>
      <c r="I9" s="105"/>
      <c r="J9" s="105">
        <v>100</v>
      </c>
      <c r="K9" s="105">
        <f>60/0.8</f>
        <v>75</v>
      </c>
      <c r="L9" s="105"/>
      <c r="M9" s="105">
        <v>250</v>
      </c>
      <c r="N9" s="105"/>
      <c r="O9" s="105"/>
      <c r="P9" s="105"/>
      <c r="Q9" s="105"/>
      <c r="R9" s="100">
        <f t="shared" si="10"/>
        <v>915</v>
      </c>
      <c r="S9" s="170"/>
      <c r="T9" s="103">
        <v>4</v>
      </c>
      <c r="U9" s="98" t="s">
        <v>18</v>
      </c>
      <c r="V9" s="105"/>
      <c r="W9" s="105"/>
      <c r="X9" s="105"/>
      <c r="Y9" s="107">
        <v>10</v>
      </c>
      <c r="Z9" s="107"/>
      <c r="AA9" s="105">
        <f t="shared" si="11"/>
        <v>100</v>
      </c>
      <c r="AB9" s="105">
        <f>K9+70</f>
        <v>145</v>
      </c>
      <c r="AC9" s="105"/>
      <c r="AD9" s="105">
        <f t="shared" si="13"/>
        <v>350</v>
      </c>
      <c r="AE9" s="105"/>
      <c r="AF9" s="105"/>
      <c r="AG9" s="105"/>
      <c r="AH9" s="100">
        <f t="shared" si="12"/>
        <v>605</v>
      </c>
    </row>
    <row r="10" spans="1:34" ht="17.25" thickBot="1">
      <c r="A10" s="103">
        <v>5</v>
      </c>
      <c r="B10" s="98" t="s">
        <v>17</v>
      </c>
      <c r="C10" s="104"/>
      <c r="D10" s="105">
        <f>400/0.8</f>
        <v>500</v>
      </c>
      <c r="E10" s="105">
        <v>180</v>
      </c>
      <c r="F10" s="105"/>
      <c r="G10" s="105"/>
      <c r="H10" s="105">
        <v>10</v>
      </c>
      <c r="I10" s="106">
        <f>'სამუშაო რვეული'!G43</f>
        <v>953.5</v>
      </c>
      <c r="J10" s="105">
        <f>'სამუშაო რვეული'!G49</f>
        <v>30</v>
      </c>
      <c r="K10" s="105"/>
      <c r="L10" s="105">
        <f>'სამუშაო რვეული'!G62</f>
        <v>250</v>
      </c>
      <c r="M10" s="105">
        <v>250</v>
      </c>
      <c r="N10" s="105"/>
      <c r="O10" s="105"/>
      <c r="P10" s="105"/>
      <c r="Q10" s="105"/>
      <c r="R10" s="100">
        <f t="shared" si="10"/>
        <v>2173.5</v>
      </c>
      <c r="S10" s="170"/>
      <c r="T10" s="103">
        <v>5</v>
      </c>
      <c r="U10" s="98" t="s">
        <v>17</v>
      </c>
      <c r="V10" s="105">
        <v>500</v>
      </c>
      <c r="W10" s="105"/>
      <c r="X10" s="105"/>
      <c r="Y10" s="107">
        <v>10</v>
      </c>
      <c r="Z10" s="107"/>
      <c r="AA10" s="105">
        <f t="shared" si="11"/>
        <v>30</v>
      </c>
      <c r="AB10" s="105"/>
      <c r="AC10" s="105">
        <f>'სამუშაო რვეული'!G63</f>
        <v>250</v>
      </c>
      <c r="AD10" s="105">
        <f t="shared" si="13"/>
        <v>350</v>
      </c>
      <c r="AE10" s="105"/>
      <c r="AF10" s="105"/>
      <c r="AG10" s="105">
        <f>'სამუშაო რვეული'!G97</f>
        <v>1014.7</v>
      </c>
      <c r="AH10" s="100">
        <f t="shared" si="12"/>
        <v>2154.6999999999998</v>
      </c>
    </row>
    <row r="11" spans="1:34" ht="17.25" thickBot="1">
      <c r="A11" s="103">
        <v>6</v>
      </c>
      <c r="B11" s="98" t="s">
        <v>16</v>
      </c>
      <c r="C11" s="104"/>
      <c r="D11" s="105">
        <f t="shared" ref="D11:D12" si="14">400/0.8</f>
        <v>500</v>
      </c>
      <c r="E11" s="105">
        <v>180</v>
      </c>
      <c r="F11" s="105"/>
      <c r="G11" s="105"/>
      <c r="H11" s="105">
        <v>10</v>
      </c>
      <c r="I11" s="105">
        <f>'სამუშაო რვეული'!G35</f>
        <v>131.25</v>
      </c>
      <c r="J11" s="105">
        <v>0</v>
      </c>
      <c r="K11" s="105"/>
      <c r="L11" s="105"/>
      <c r="M11" s="105">
        <v>250</v>
      </c>
      <c r="N11" s="105"/>
      <c r="O11" s="105"/>
      <c r="P11" s="108"/>
      <c r="Q11" s="108">
        <f>'სამუშაო რვეული'!G91</f>
        <v>5100</v>
      </c>
      <c r="R11" s="100">
        <f t="shared" si="10"/>
        <v>6171.25</v>
      </c>
      <c r="S11" s="170"/>
      <c r="T11" s="103">
        <v>6</v>
      </c>
      <c r="U11" s="98" t="s">
        <v>16</v>
      </c>
      <c r="V11" s="105">
        <v>500</v>
      </c>
      <c r="W11" s="105"/>
      <c r="X11" s="105"/>
      <c r="Y11" s="107">
        <v>10</v>
      </c>
      <c r="Z11" s="107"/>
      <c r="AA11" s="105">
        <f t="shared" si="11"/>
        <v>0</v>
      </c>
      <c r="AB11" s="105"/>
      <c r="AC11" s="105"/>
      <c r="AD11" s="105">
        <f t="shared" si="13"/>
        <v>350</v>
      </c>
      <c r="AE11" s="105"/>
      <c r="AF11" s="105"/>
      <c r="AG11" s="105"/>
      <c r="AH11" s="100">
        <f t="shared" si="12"/>
        <v>860</v>
      </c>
    </row>
    <row r="12" spans="1:34" ht="16.5">
      <c r="A12" s="103">
        <v>7</v>
      </c>
      <c r="B12" s="97" t="s">
        <v>15</v>
      </c>
      <c r="C12" s="109"/>
      <c r="D12" s="105">
        <f t="shared" si="14"/>
        <v>500</v>
      </c>
      <c r="E12" s="110">
        <v>180</v>
      </c>
      <c r="F12" s="180">
        <f>'სამუშაო რვეული'!H10</f>
        <v>2541.6666666666665</v>
      </c>
      <c r="G12" s="110"/>
      <c r="H12" s="110">
        <v>10</v>
      </c>
      <c r="I12" s="110"/>
      <c r="J12" s="110">
        <v>100</v>
      </c>
      <c r="K12" s="110"/>
      <c r="L12" s="110"/>
      <c r="M12" s="110">
        <v>250</v>
      </c>
      <c r="N12" s="110"/>
      <c r="O12" s="105"/>
      <c r="P12" s="105"/>
      <c r="Q12" s="105"/>
      <c r="R12" s="100">
        <f t="shared" si="10"/>
        <v>3581.6666666666665</v>
      </c>
      <c r="S12" s="170"/>
      <c r="T12" s="103">
        <v>7</v>
      </c>
      <c r="U12" s="97" t="s">
        <v>15</v>
      </c>
      <c r="V12" s="105">
        <v>500</v>
      </c>
      <c r="W12" s="183">
        <f>F12</f>
        <v>2541.6666666666665</v>
      </c>
      <c r="X12" s="105"/>
      <c r="Y12" s="107">
        <v>10</v>
      </c>
      <c r="Z12" s="107"/>
      <c r="AA12" s="105">
        <f t="shared" si="11"/>
        <v>100</v>
      </c>
      <c r="AB12" s="105"/>
      <c r="AC12" s="105"/>
      <c r="AD12" s="105">
        <f t="shared" si="13"/>
        <v>350</v>
      </c>
      <c r="AE12" s="110"/>
      <c r="AF12" s="105"/>
      <c r="AG12" s="105"/>
      <c r="AH12" s="100">
        <f t="shared" si="12"/>
        <v>3501.6666666666665</v>
      </c>
    </row>
    <row r="13" spans="1:34" ht="16.5">
      <c r="A13" s="111">
        <v>8</v>
      </c>
      <c r="B13" s="111" t="s">
        <v>82</v>
      </c>
      <c r="C13" s="105"/>
      <c r="D13" s="105"/>
      <c r="E13" s="105"/>
      <c r="F13" s="107"/>
      <c r="G13" s="105"/>
      <c r="H13" s="105">
        <v>10</v>
      </c>
      <c r="I13" s="105"/>
      <c r="J13" s="105">
        <v>0</v>
      </c>
      <c r="K13" s="105"/>
      <c r="L13" s="105"/>
      <c r="M13" s="105">
        <v>250</v>
      </c>
      <c r="N13" s="105"/>
      <c r="O13" s="105"/>
      <c r="P13" s="105">
        <v>1000</v>
      </c>
      <c r="Q13" s="105"/>
      <c r="R13" s="100">
        <f t="shared" si="10"/>
        <v>1260</v>
      </c>
      <c r="S13" s="170"/>
      <c r="T13" s="111">
        <v>8</v>
      </c>
      <c r="U13" s="111" t="s">
        <v>82</v>
      </c>
      <c r="V13" s="105"/>
      <c r="W13" s="105"/>
      <c r="X13" s="105"/>
      <c r="Y13" s="107">
        <v>10</v>
      </c>
      <c r="Z13" s="107"/>
      <c r="AA13" s="105">
        <f t="shared" si="11"/>
        <v>0</v>
      </c>
      <c r="AB13" s="105"/>
      <c r="AC13" s="105"/>
      <c r="AD13" s="105">
        <f t="shared" si="13"/>
        <v>350</v>
      </c>
      <c r="AE13" s="105"/>
      <c r="AF13" s="105"/>
      <c r="AG13" s="105"/>
      <c r="AH13" s="100">
        <f t="shared" si="12"/>
        <v>360</v>
      </c>
    </row>
    <row r="14" spans="1:34" s="114" customFormat="1" ht="33.75" customHeight="1" thickBot="1">
      <c r="A14" s="198" t="s">
        <v>11</v>
      </c>
      <c r="B14" s="199"/>
      <c r="C14" s="112">
        <f>SUM(C6:C13)</f>
        <v>1200</v>
      </c>
      <c r="D14" s="112">
        <f t="shared" ref="D14:R14" si="15">SUM(D6:D13)</f>
        <v>1500</v>
      </c>
      <c r="E14" s="112">
        <f t="shared" si="15"/>
        <v>1260</v>
      </c>
      <c r="F14" s="112">
        <f t="shared" si="15"/>
        <v>2541.6666666666665</v>
      </c>
      <c r="G14" s="115">
        <f t="shared" si="15"/>
        <v>2083.3333333333335</v>
      </c>
      <c r="H14" s="112">
        <f t="shared" si="15"/>
        <v>80</v>
      </c>
      <c r="I14" s="112">
        <f t="shared" si="15"/>
        <v>1614.75</v>
      </c>
      <c r="J14" s="112">
        <f t="shared" si="15"/>
        <v>430</v>
      </c>
      <c r="K14" s="112">
        <f t="shared" si="15"/>
        <v>75</v>
      </c>
      <c r="L14" s="112">
        <f t="shared" si="15"/>
        <v>250</v>
      </c>
      <c r="M14" s="112">
        <f t="shared" si="15"/>
        <v>2000</v>
      </c>
      <c r="N14" s="112">
        <f t="shared" si="15"/>
        <v>32.876712328767127</v>
      </c>
      <c r="O14" s="112">
        <f t="shared" si="15"/>
        <v>1500</v>
      </c>
      <c r="P14" s="112">
        <f t="shared" si="15"/>
        <v>1000</v>
      </c>
      <c r="Q14" s="112">
        <f t="shared" si="15"/>
        <v>5100</v>
      </c>
      <c r="R14" s="112">
        <f t="shared" si="15"/>
        <v>20667.626712328769</v>
      </c>
      <c r="S14" s="171"/>
      <c r="T14" s="198" t="s">
        <v>11</v>
      </c>
      <c r="U14" s="199"/>
      <c r="V14" s="113">
        <f>SUM(V6:V13)</f>
        <v>1500</v>
      </c>
      <c r="W14" s="113">
        <f t="shared" ref="W14:AH14" si="16">SUM(W6:W13)</f>
        <v>2541.6666666666665</v>
      </c>
      <c r="X14" s="113">
        <f t="shared" si="16"/>
        <v>2083.3333333333335</v>
      </c>
      <c r="Y14" s="113">
        <f t="shared" si="16"/>
        <v>80</v>
      </c>
      <c r="Z14" s="113">
        <f t="shared" si="16"/>
        <v>100</v>
      </c>
      <c r="AA14" s="113">
        <f t="shared" si="16"/>
        <v>430</v>
      </c>
      <c r="AB14" s="113">
        <f t="shared" si="16"/>
        <v>145</v>
      </c>
      <c r="AC14" s="113">
        <f t="shared" si="16"/>
        <v>750</v>
      </c>
      <c r="AD14" s="113">
        <f t="shared" si="16"/>
        <v>2800</v>
      </c>
      <c r="AE14" s="113">
        <f t="shared" si="16"/>
        <v>32.876712328767127</v>
      </c>
      <c r="AF14" s="113">
        <f t="shared" si="16"/>
        <v>1500</v>
      </c>
      <c r="AG14" s="113">
        <f t="shared" si="16"/>
        <v>1014.7</v>
      </c>
      <c r="AH14" s="113">
        <f t="shared" si="16"/>
        <v>12977.576712328768</v>
      </c>
    </row>
    <row r="15" spans="1:34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</row>
    <row r="16" spans="1:34">
      <c r="A16" s="87" t="s">
        <v>281</v>
      </c>
    </row>
  </sheetData>
  <mergeCells count="9">
    <mergeCell ref="U3:U4"/>
    <mergeCell ref="T14:U14"/>
    <mergeCell ref="B1:AH1"/>
    <mergeCell ref="V3:AH3"/>
    <mergeCell ref="A3:A4"/>
    <mergeCell ref="B3:B4"/>
    <mergeCell ref="A14:B14"/>
    <mergeCell ref="C3:R3"/>
    <mergeCell ref="T3:T4"/>
  </mergeCells>
  <pageMargins left="0.31496062992125984" right="0.11811023622047244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2"/>
  <sheetViews>
    <sheetView topLeftCell="A190" workbookViewId="0">
      <selection activeCell="K33" sqref="K33:M33"/>
    </sheetView>
  </sheetViews>
  <sheetFormatPr defaultRowHeight="15"/>
  <cols>
    <col min="1" max="1" width="9.140625" style="321"/>
    <col min="2" max="2" width="7.7109375" style="321" customWidth="1"/>
    <col min="3" max="3" width="9.140625" style="321"/>
    <col min="4" max="4" width="4" style="321" customWidth="1"/>
    <col min="5" max="5" width="7.28515625" style="321" customWidth="1"/>
    <col min="6" max="6" width="13" style="321" customWidth="1"/>
    <col min="7" max="7" width="11" style="327" customWidth="1"/>
    <col min="8" max="8" width="6.7109375" style="324" customWidth="1"/>
    <col min="9" max="9" width="10" style="321" customWidth="1"/>
    <col min="10" max="10" width="22.28515625" style="320" customWidth="1"/>
    <col min="11" max="12" width="9.140625" style="321"/>
  </cols>
  <sheetData>
    <row r="1" spans="1:15" ht="15.75">
      <c r="A1" s="319" t="s">
        <v>159</v>
      </c>
      <c r="B1" s="319"/>
      <c r="C1" s="319"/>
      <c r="D1" s="319"/>
      <c r="E1" s="319"/>
      <c r="F1" s="319"/>
      <c r="G1" s="319"/>
      <c r="H1" s="319"/>
      <c r="I1" s="319"/>
    </row>
    <row r="2" spans="1:15" ht="15.75">
      <c r="A2" s="322"/>
      <c r="B2" s="319" t="s">
        <v>24</v>
      </c>
      <c r="C2" s="319"/>
      <c r="D2" s="319"/>
      <c r="E2" s="319"/>
      <c r="F2" s="319"/>
      <c r="G2" s="319"/>
      <c r="H2" s="319"/>
      <c r="I2" s="319"/>
    </row>
    <row r="3" spans="1:15">
      <c r="A3" s="323"/>
      <c r="B3" s="323"/>
      <c r="C3" s="323"/>
      <c r="D3" s="323"/>
      <c r="E3" s="323"/>
      <c r="F3" s="323"/>
      <c r="G3" s="324"/>
      <c r="I3" s="323"/>
    </row>
    <row r="4" spans="1:15">
      <c r="A4" s="325" t="s">
        <v>160</v>
      </c>
      <c r="B4" s="325"/>
      <c r="C4" s="325"/>
      <c r="D4" s="325"/>
      <c r="E4" s="325"/>
      <c r="F4" s="325"/>
      <c r="G4" s="325"/>
      <c r="H4" s="325"/>
      <c r="I4" s="325"/>
    </row>
    <row r="6" spans="1:15" ht="45.75" customHeight="1">
      <c r="A6" s="326" t="s">
        <v>313</v>
      </c>
      <c r="B6" s="326"/>
      <c r="C6" s="326"/>
      <c r="D6" s="326"/>
      <c r="E6" s="326"/>
      <c r="F6" s="326"/>
      <c r="G6" s="326"/>
      <c r="H6" s="326"/>
      <c r="I6" s="326"/>
      <c r="J6" s="320" t="s">
        <v>255</v>
      </c>
    </row>
    <row r="7" spans="1:15" ht="9.75" customHeight="1" thickBot="1"/>
    <row r="8" spans="1:15" s="8" customFormat="1" ht="53.25">
      <c r="A8" s="328" t="s">
        <v>20</v>
      </c>
      <c r="B8" s="329"/>
      <c r="C8" s="329"/>
      <c r="D8" s="329"/>
      <c r="E8" s="329"/>
      <c r="F8" s="330" t="s">
        <v>21</v>
      </c>
      <c r="G8" s="331" t="s">
        <v>22</v>
      </c>
      <c r="H8" s="332" t="s">
        <v>52</v>
      </c>
      <c r="I8" s="333" t="s">
        <v>23</v>
      </c>
      <c r="J8" s="334"/>
      <c r="K8" s="539" t="s">
        <v>305</v>
      </c>
      <c r="L8" s="539"/>
      <c r="M8" s="539"/>
    </row>
    <row r="9" spans="1:15">
      <c r="A9" s="335" t="s">
        <v>51</v>
      </c>
      <c r="B9" s="336"/>
      <c r="C9" s="336"/>
      <c r="D9" s="336"/>
      <c r="E9" s="337"/>
      <c r="F9" s="338" t="s">
        <v>14</v>
      </c>
      <c r="G9" s="339">
        <f>2000</f>
        <v>2000</v>
      </c>
      <c r="H9" s="340"/>
      <c r="I9" s="341">
        <v>1</v>
      </c>
      <c r="J9" s="334"/>
      <c r="K9" s="342"/>
    </row>
    <row r="10" spans="1:15" ht="33" customHeight="1">
      <c r="A10" s="343" t="s">
        <v>314</v>
      </c>
      <c r="B10" s="344"/>
      <c r="C10" s="344"/>
      <c r="D10" s="344"/>
      <c r="E10" s="345"/>
      <c r="F10" s="346"/>
      <c r="G10" s="339">
        <f>G9*20%/12*1</f>
        <v>33.333333333333336</v>
      </c>
      <c r="H10" s="347">
        <f>G9+G10+G11</f>
        <v>2541.6666666666665</v>
      </c>
      <c r="I10" s="348"/>
      <c r="J10" s="334" t="s">
        <v>53</v>
      </c>
      <c r="K10" s="349"/>
    </row>
    <row r="11" spans="1:15" ht="28.5" customHeight="1">
      <c r="A11" s="350" t="s">
        <v>289</v>
      </c>
      <c r="B11" s="351"/>
      <c r="C11" s="351"/>
      <c r="D11" s="351"/>
      <c r="E11" s="352"/>
      <c r="F11" s="353"/>
      <c r="G11" s="354">
        <f>(G9+G10)/0.8*20%</f>
        <v>508.33333333333331</v>
      </c>
      <c r="H11" s="355"/>
      <c r="I11" s="348"/>
      <c r="J11" s="334"/>
      <c r="K11" s="342"/>
      <c r="O11" s="125"/>
    </row>
    <row r="12" spans="1:15" ht="24" customHeight="1" thickBot="1">
      <c r="A12" s="356" t="s">
        <v>87</v>
      </c>
      <c r="B12" s="357"/>
      <c r="C12" s="357"/>
      <c r="D12" s="357"/>
      <c r="E12" s="357"/>
      <c r="F12" s="358" t="s">
        <v>49</v>
      </c>
      <c r="G12" s="359">
        <f>G9+G10+G11</f>
        <v>2541.6666666666665</v>
      </c>
      <c r="H12" s="360"/>
      <c r="I12" s="361"/>
      <c r="J12" s="334"/>
      <c r="K12" s="342"/>
    </row>
    <row r="13" spans="1:15" ht="11.25" customHeight="1">
      <c r="A13" s="362"/>
      <c r="B13" s="362"/>
      <c r="C13" s="362"/>
      <c r="D13" s="362"/>
      <c r="E13" s="362"/>
      <c r="F13" s="363"/>
      <c r="G13" s="362"/>
      <c r="H13" s="362"/>
      <c r="I13" s="363"/>
      <c r="J13" s="334"/>
      <c r="K13" s="342"/>
    </row>
    <row r="14" spans="1:15" ht="22.5" customHeight="1" thickBot="1">
      <c r="A14" s="364" t="s">
        <v>54</v>
      </c>
      <c r="B14" s="364"/>
      <c r="C14" s="364"/>
      <c r="D14" s="364"/>
      <c r="E14" s="364"/>
      <c r="F14" s="364"/>
      <c r="G14" s="364"/>
      <c r="H14" s="364"/>
      <c r="I14" s="364"/>
      <c r="J14" s="320" t="s">
        <v>256</v>
      </c>
      <c r="K14" s="342"/>
    </row>
    <row r="15" spans="1:15" ht="25.5">
      <c r="A15" s="328" t="s">
        <v>20</v>
      </c>
      <c r="B15" s="329"/>
      <c r="C15" s="329"/>
      <c r="D15" s="329"/>
      <c r="E15" s="329"/>
      <c r="F15" s="330" t="s">
        <v>21</v>
      </c>
      <c r="G15" s="331" t="s">
        <v>22</v>
      </c>
      <c r="H15" s="331" t="s">
        <v>23</v>
      </c>
      <c r="I15" s="365" t="s">
        <v>7</v>
      </c>
      <c r="J15" s="334"/>
      <c r="K15" s="342"/>
    </row>
    <row r="16" spans="1:15" ht="29.25" customHeight="1">
      <c r="A16" s="350" t="s">
        <v>282</v>
      </c>
      <c r="B16" s="351"/>
      <c r="C16" s="351"/>
      <c r="D16" s="351"/>
      <c r="E16" s="352"/>
      <c r="F16" s="366" t="s">
        <v>14</v>
      </c>
      <c r="G16" s="367">
        <f>100000*20%/0.8/12*1</f>
        <v>2083.3333333333335</v>
      </c>
      <c r="H16" s="368">
        <v>1</v>
      </c>
      <c r="I16" s="369"/>
      <c r="J16" s="334" t="s">
        <v>53</v>
      </c>
      <c r="K16" s="342"/>
    </row>
    <row r="17" spans="1:14" ht="26.25" customHeight="1" thickBot="1">
      <c r="A17" s="356" t="s">
        <v>87</v>
      </c>
      <c r="B17" s="357"/>
      <c r="C17" s="357"/>
      <c r="D17" s="357"/>
      <c r="E17" s="357"/>
      <c r="F17" s="358" t="s">
        <v>49</v>
      </c>
      <c r="G17" s="359">
        <f>G16</f>
        <v>2083.3333333333335</v>
      </c>
      <c r="H17" s="370"/>
      <c r="I17" s="371"/>
      <c r="J17" s="334"/>
      <c r="K17" s="342"/>
    </row>
    <row r="18" spans="1:14">
      <c r="A18" s="342"/>
      <c r="B18" s="342"/>
      <c r="C18" s="342"/>
      <c r="D18" s="342"/>
      <c r="E18" s="342"/>
      <c r="F18" s="342"/>
      <c r="G18" s="349"/>
      <c r="H18" s="372"/>
      <c r="I18" s="342"/>
      <c r="J18" s="334"/>
      <c r="K18" s="342"/>
    </row>
    <row r="19" spans="1:14" ht="16.5" thickBot="1">
      <c r="A19" s="373" t="s">
        <v>61</v>
      </c>
      <c r="B19" s="373"/>
      <c r="C19" s="373"/>
      <c r="D19" s="373"/>
      <c r="E19" s="373"/>
      <c r="F19" s="373"/>
      <c r="G19" s="373"/>
      <c r="H19" s="373"/>
      <c r="I19" s="373"/>
      <c r="J19" s="320" t="s">
        <v>257</v>
      </c>
      <c r="K19" s="342"/>
    </row>
    <row r="20" spans="1:14" ht="30">
      <c r="A20" s="374" t="s">
        <v>20</v>
      </c>
      <c r="B20" s="375"/>
      <c r="C20" s="375"/>
      <c r="D20" s="375"/>
      <c r="E20" s="375"/>
      <c r="F20" s="376" t="s">
        <v>21</v>
      </c>
      <c r="G20" s="377" t="s">
        <v>22</v>
      </c>
      <c r="H20" s="377" t="s">
        <v>23</v>
      </c>
      <c r="I20" s="378" t="s">
        <v>7</v>
      </c>
      <c r="J20" s="334"/>
      <c r="K20" s="342"/>
    </row>
    <row r="21" spans="1:14">
      <c r="A21" s="379" t="s">
        <v>62</v>
      </c>
      <c r="B21" s="380"/>
      <c r="C21" s="380"/>
      <c r="D21" s="380"/>
      <c r="E21" s="381"/>
      <c r="F21" s="382" t="s">
        <v>14</v>
      </c>
      <c r="G21" s="383">
        <v>10</v>
      </c>
      <c r="H21" s="384">
        <v>1</v>
      </c>
      <c r="I21" s="385"/>
      <c r="J21" s="334"/>
      <c r="K21" s="342"/>
    </row>
    <row r="22" spans="1:14" ht="15.75" thickBot="1">
      <c r="A22" s="356" t="s">
        <v>87</v>
      </c>
      <c r="B22" s="357"/>
      <c r="C22" s="357"/>
      <c r="D22" s="357"/>
      <c r="E22" s="357"/>
      <c r="F22" s="358" t="s">
        <v>49</v>
      </c>
      <c r="G22" s="386">
        <f>G21</f>
        <v>10</v>
      </c>
      <c r="H22" s="387"/>
      <c r="I22" s="371"/>
      <c r="J22" s="334"/>
      <c r="K22" s="342"/>
    </row>
    <row r="23" spans="1:14" ht="9.75" customHeight="1">
      <c r="A23" s="362"/>
      <c r="B23" s="362"/>
      <c r="C23" s="362"/>
      <c r="D23" s="362"/>
      <c r="E23" s="362"/>
      <c r="F23" s="363"/>
      <c r="G23" s="388"/>
      <c r="H23" s="389"/>
      <c r="I23" s="363"/>
      <c r="J23" s="334"/>
      <c r="K23" s="342"/>
    </row>
    <row r="24" spans="1:14" ht="48.75" customHeight="1" thickBot="1">
      <c r="A24" s="390" t="s">
        <v>315</v>
      </c>
      <c r="B24" s="390"/>
      <c r="C24" s="390"/>
      <c r="D24" s="390"/>
      <c r="E24" s="390"/>
      <c r="F24" s="390"/>
      <c r="G24" s="390"/>
      <c r="H24" s="390"/>
      <c r="I24" s="390"/>
      <c r="J24" s="334" t="s">
        <v>258</v>
      </c>
      <c r="K24" s="342"/>
    </row>
    <row r="25" spans="1:14" ht="25.5">
      <c r="A25" s="328" t="s">
        <v>20</v>
      </c>
      <c r="B25" s="329"/>
      <c r="C25" s="329"/>
      <c r="D25" s="329"/>
      <c r="E25" s="329"/>
      <c r="F25" s="330" t="s">
        <v>21</v>
      </c>
      <c r="G25" s="331" t="s">
        <v>22</v>
      </c>
      <c r="H25" s="331" t="s">
        <v>23</v>
      </c>
      <c r="I25" s="365" t="s">
        <v>7</v>
      </c>
      <c r="J25" s="334"/>
      <c r="K25" s="342"/>
    </row>
    <row r="26" spans="1:14" ht="38.25">
      <c r="A26" s="350" t="s">
        <v>316</v>
      </c>
      <c r="B26" s="351"/>
      <c r="C26" s="351"/>
      <c r="D26" s="351"/>
      <c r="E26" s="352"/>
      <c r="F26" s="391" t="s">
        <v>25</v>
      </c>
      <c r="G26" s="391">
        <f>130+1000+(20*30)+500</f>
        <v>2230</v>
      </c>
      <c r="H26" s="368">
        <v>1</v>
      </c>
      <c r="I26" s="392"/>
      <c r="J26" s="334"/>
      <c r="K26" s="540" t="s">
        <v>294</v>
      </c>
      <c r="L26" s="540"/>
      <c r="M26" s="540"/>
    </row>
    <row r="27" spans="1:14" ht="38.25">
      <c r="A27" s="350" t="s">
        <v>317</v>
      </c>
      <c r="B27" s="351"/>
      <c r="C27" s="351"/>
      <c r="D27" s="351"/>
      <c r="E27" s="352"/>
      <c r="F27" s="391" t="s">
        <v>57</v>
      </c>
      <c r="G27" s="391">
        <f>100+1000+600</f>
        <v>1700</v>
      </c>
      <c r="H27" s="393"/>
      <c r="I27" s="394"/>
      <c r="J27" s="334"/>
      <c r="K27" s="342"/>
      <c r="N27" t="s">
        <v>31</v>
      </c>
    </row>
    <row r="28" spans="1:14">
      <c r="A28" s="395" t="s">
        <v>306</v>
      </c>
      <c r="B28" s="396"/>
      <c r="C28" s="396"/>
      <c r="D28" s="396"/>
      <c r="E28" s="397"/>
      <c r="F28" s="398" t="s">
        <v>14</v>
      </c>
      <c r="G28" s="398">
        <f>G26-G27</f>
        <v>530</v>
      </c>
      <c r="H28" s="393"/>
      <c r="I28" s="399"/>
      <c r="J28" s="372"/>
      <c r="K28" s="342"/>
    </row>
    <row r="29" spans="1:14" ht="33" customHeight="1">
      <c r="A29" s="400" t="s">
        <v>292</v>
      </c>
      <c r="B29" s="351"/>
      <c r="C29" s="351"/>
      <c r="D29" s="351"/>
      <c r="E29" s="352"/>
      <c r="F29" s="391" t="s">
        <v>291</v>
      </c>
      <c r="G29" s="366">
        <f>1700-1500</f>
        <v>200</v>
      </c>
      <c r="H29" s="401"/>
      <c r="I29" s="394"/>
      <c r="J29" s="402"/>
      <c r="K29" s="342"/>
    </row>
    <row r="30" spans="1:14">
      <c r="A30" s="342"/>
      <c r="B30" s="342"/>
      <c r="C30" s="342"/>
      <c r="D30" s="342"/>
      <c r="E30" s="342"/>
      <c r="F30" s="342"/>
      <c r="G30" s="349"/>
      <c r="H30" s="372"/>
      <c r="I30" s="342"/>
      <c r="J30" s="334"/>
      <c r="K30" s="342"/>
    </row>
    <row r="31" spans="1:14" ht="46.5" customHeight="1" thickBot="1">
      <c r="A31" s="390" t="s">
        <v>318</v>
      </c>
      <c r="B31" s="390"/>
      <c r="C31" s="390"/>
      <c r="D31" s="390"/>
      <c r="E31" s="390"/>
      <c r="F31" s="390"/>
      <c r="G31" s="390"/>
      <c r="H31" s="390"/>
      <c r="I31" s="390"/>
      <c r="J31" s="334" t="s">
        <v>258</v>
      </c>
      <c r="K31" s="342"/>
    </row>
    <row r="32" spans="1:14" ht="25.5">
      <c r="A32" s="328" t="s">
        <v>20</v>
      </c>
      <c r="B32" s="329"/>
      <c r="C32" s="329"/>
      <c r="D32" s="329"/>
      <c r="E32" s="329"/>
      <c r="F32" s="330" t="s">
        <v>21</v>
      </c>
      <c r="G32" s="331" t="s">
        <v>22</v>
      </c>
      <c r="H32" s="331" t="s">
        <v>23</v>
      </c>
      <c r="I32" s="365" t="s">
        <v>7</v>
      </c>
      <c r="J32" s="334"/>
      <c r="K32" s="342"/>
    </row>
    <row r="33" spans="1:13" ht="38.25">
      <c r="A33" s="350" t="s">
        <v>319</v>
      </c>
      <c r="B33" s="351"/>
      <c r="C33" s="351"/>
      <c r="D33" s="351"/>
      <c r="E33" s="352"/>
      <c r="F33" s="391" t="s">
        <v>25</v>
      </c>
      <c r="G33" s="391">
        <f>167+1008+(20*30)</f>
        <v>1775</v>
      </c>
      <c r="H33" s="368">
        <v>1</v>
      </c>
      <c r="I33" s="392"/>
      <c r="J33" s="334"/>
      <c r="K33" s="540" t="s">
        <v>294</v>
      </c>
      <c r="L33" s="540"/>
      <c r="M33" s="540"/>
    </row>
    <row r="34" spans="1:13" ht="38.25">
      <c r="A34" s="350" t="s">
        <v>320</v>
      </c>
      <c r="B34" s="351"/>
      <c r="C34" s="351"/>
      <c r="D34" s="351"/>
      <c r="E34" s="352"/>
      <c r="F34" s="391" t="s">
        <v>57</v>
      </c>
      <c r="G34" s="391">
        <f>62+1008+(20*30)</f>
        <v>1670</v>
      </c>
      <c r="H34" s="393"/>
      <c r="I34" s="341"/>
      <c r="J34" s="334"/>
      <c r="K34" s="209"/>
      <c r="L34" s="209"/>
      <c r="M34" s="209"/>
    </row>
    <row r="35" spans="1:13" ht="15.75" thickBot="1">
      <c r="A35" s="403" t="s">
        <v>293</v>
      </c>
      <c r="B35" s="404"/>
      <c r="C35" s="404"/>
      <c r="D35" s="404"/>
      <c r="E35" s="405"/>
      <c r="F35" s="406" t="s">
        <v>14</v>
      </c>
      <c r="G35" s="406">
        <f>(G33-G34)/0.8</f>
        <v>131.25</v>
      </c>
      <c r="H35" s="370"/>
      <c r="I35" s="361"/>
      <c r="J35" s="334"/>
      <c r="K35" s="209"/>
      <c r="L35" s="209"/>
      <c r="M35" s="209"/>
    </row>
    <row r="36" spans="1:13">
      <c r="A36" s="342"/>
      <c r="B36" s="342"/>
      <c r="C36" s="342"/>
      <c r="D36" s="342"/>
      <c r="E36" s="342"/>
      <c r="F36" s="342"/>
      <c r="G36" s="349"/>
      <c r="H36" s="372"/>
      <c r="I36" s="342"/>
      <c r="J36" s="334"/>
      <c r="K36" s="342"/>
    </row>
    <row r="37" spans="1:13" ht="55.5" customHeight="1" thickBot="1">
      <c r="A37" s="390" t="s">
        <v>321</v>
      </c>
      <c r="B37" s="390"/>
      <c r="C37" s="390"/>
      <c r="D37" s="390"/>
      <c r="E37" s="390"/>
      <c r="F37" s="390"/>
      <c r="G37" s="390"/>
      <c r="H37" s="390"/>
      <c r="I37" s="390"/>
      <c r="J37" s="334" t="s">
        <v>258</v>
      </c>
      <c r="K37" s="342"/>
    </row>
    <row r="38" spans="1:13" ht="25.5">
      <c r="A38" s="328" t="s">
        <v>20</v>
      </c>
      <c r="B38" s="329"/>
      <c r="C38" s="329"/>
      <c r="D38" s="329"/>
      <c r="E38" s="329"/>
      <c r="F38" s="330" t="s">
        <v>21</v>
      </c>
      <c r="G38" s="331" t="s">
        <v>22</v>
      </c>
      <c r="H38" s="331" t="s">
        <v>23</v>
      </c>
      <c r="I38" s="365" t="s">
        <v>7</v>
      </c>
      <c r="J38" s="334"/>
      <c r="K38" s="342"/>
    </row>
    <row r="39" spans="1:13" ht="38.25">
      <c r="A39" s="350" t="s">
        <v>322</v>
      </c>
      <c r="B39" s="351"/>
      <c r="C39" s="351"/>
      <c r="D39" s="351"/>
      <c r="E39" s="352"/>
      <c r="F39" s="391" t="s">
        <v>25</v>
      </c>
      <c r="G39" s="391">
        <f>1550+2100+714</f>
        <v>4364</v>
      </c>
      <c r="H39" s="407">
        <v>1</v>
      </c>
      <c r="I39" s="408"/>
      <c r="J39" s="334"/>
      <c r="K39" s="342"/>
    </row>
    <row r="40" spans="1:13" ht="38.25">
      <c r="A40" s="350" t="s">
        <v>277</v>
      </c>
      <c r="B40" s="351"/>
      <c r="C40" s="351"/>
      <c r="D40" s="351"/>
      <c r="E40" s="352"/>
      <c r="F40" s="391" t="s">
        <v>57</v>
      </c>
      <c r="G40" s="391">
        <f>1180+(127*9)+(34*10)</f>
        <v>2663</v>
      </c>
      <c r="H40" s="407"/>
      <c r="I40" s="408"/>
      <c r="J40" s="334"/>
      <c r="K40" s="409"/>
    </row>
    <row r="41" spans="1:13">
      <c r="A41" s="335" t="s">
        <v>278</v>
      </c>
      <c r="B41" s="336"/>
      <c r="C41" s="336"/>
      <c r="D41" s="336"/>
      <c r="E41" s="337"/>
      <c r="F41" s="391" t="s">
        <v>63</v>
      </c>
      <c r="G41" s="391">
        <f>G39-G40</f>
        <v>1701</v>
      </c>
      <c r="H41" s="407"/>
      <c r="I41" s="408"/>
      <c r="J41" s="334"/>
      <c r="K41" s="342"/>
    </row>
    <row r="42" spans="1:13" ht="42.75" customHeight="1">
      <c r="A42" s="335" t="s">
        <v>290</v>
      </c>
      <c r="B42" s="336"/>
      <c r="C42" s="336"/>
      <c r="D42" s="336"/>
      <c r="E42" s="337"/>
      <c r="F42" s="391" t="s">
        <v>64</v>
      </c>
      <c r="G42" s="391">
        <f>G41*3.5</f>
        <v>5953.5</v>
      </c>
      <c r="H42" s="407"/>
      <c r="I42" s="408"/>
      <c r="J42" s="334"/>
      <c r="K42" s="209"/>
      <c r="L42" s="209"/>
      <c r="M42" s="209"/>
    </row>
    <row r="43" spans="1:13" ht="39.75" customHeight="1" thickBot="1">
      <c r="A43" s="403" t="s">
        <v>279</v>
      </c>
      <c r="B43" s="404"/>
      <c r="C43" s="404"/>
      <c r="D43" s="404"/>
      <c r="E43" s="405"/>
      <c r="F43" s="406" t="s">
        <v>64</v>
      </c>
      <c r="G43" s="410">
        <f>G42-5000</f>
        <v>953.5</v>
      </c>
      <c r="H43" s="357"/>
      <c r="I43" s="411"/>
      <c r="J43" s="334"/>
      <c r="K43" s="342"/>
    </row>
    <row r="44" spans="1:13">
      <c r="A44" s="342"/>
      <c r="B44" s="342"/>
      <c r="C44" s="342"/>
      <c r="D44" s="342"/>
      <c r="E44" s="342"/>
      <c r="F44" s="342"/>
      <c r="G44" s="349"/>
      <c r="H44" s="372"/>
      <c r="I44" s="342"/>
      <c r="J44" s="334"/>
      <c r="K44" s="342"/>
    </row>
    <row r="45" spans="1:13" ht="15.75" thickBot="1">
      <c r="A45" s="412" t="s">
        <v>323</v>
      </c>
      <c r="B45" s="390"/>
      <c r="C45" s="390"/>
      <c r="D45" s="390"/>
      <c r="E45" s="390"/>
      <c r="F45" s="390"/>
      <c r="G45" s="390"/>
      <c r="H45" s="390"/>
      <c r="I45" s="390"/>
      <c r="J45" s="320" t="s">
        <v>259</v>
      </c>
      <c r="K45" s="342"/>
    </row>
    <row r="46" spans="1:13" ht="25.5">
      <c r="A46" s="413" t="s">
        <v>20</v>
      </c>
      <c r="B46" s="414"/>
      <c r="C46" s="414"/>
      <c r="D46" s="414"/>
      <c r="E46" s="414"/>
      <c r="F46" s="330" t="s">
        <v>21</v>
      </c>
      <c r="G46" s="331" t="s">
        <v>22</v>
      </c>
      <c r="H46" s="331" t="s">
        <v>23</v>
      </c>
      <c r="I46" s="365" t="s">
        <v>7</v>
      </c>
      <c r="J46" s="334"/>
      <c r="K46" s="342"/>
    </row>
    <row r="47" spans="1:13" ht="24" customHeight="1">
      <c r="A47" s="415" t="s">
        <v>166</v>
      </c>
      <c r="B47" s="416"/>
      <c r="C47" s="416"/>
      <c r="D47" s="416"/>
      <c r="E47" s="416"/>
      <c r="F47" s="417" t="s">
        <v>14</v>
      </c>
      <c r="G47" s="391">
        <f>20*5</f>
        <v>100</v>
      </c>
      <c r="H47" s="407">
        <v>1</v>
      </c>
      <c r="I47" s="408"/>
      <c r="J47" s="334"/>
      <c r="K47" s="342"/>
    </row>
    <row r="48" spans="1:13" ht="15" customHeight="1">
      <c r="A48" s="418" t="s">
        <v>92</v>
      </c>
      <c r="B48" s="419"/>
      <c r="C48" s="419"/>
      <c r="D48" s="419"/>
      <c r="E48" s="420"/>
      <c r="F48" s="417" t="s">
        <v>14</v>
      </c>
      <c r="G48" s="391">
        <v>0</v>
      </c>
      <c r="H48" s="407"/>
      <c r="I48" s="408"/>
      <c r="J48" s="334"/>
      <c r="K48" s="342"/>
    </row>
    <row r="49" spans="1:16">
      <c r="A49" s="418" t="s">
        <v>167</v>
      </c>
      <c r="B49" s="419"/>
      <c r="C49" s="419"/>
      <c r="D49" s="419"/>
      <c r="E49" s="420"/>
      <c r="F49" s="417" t="s">
        <v>14</v>
      </c>
      <c r="G49" s="391">
        <v>30</v>
      </c>
      <c r="H49" s="407"/>
      <c r="I49" s="408"/>
      <c r="J49" s="334"/>
      <c r="K49" s="342"/>
    </row>
    <row r="50" spans="1:16" ht="28.5" customHeight="1">
      <c r="A50" s="415" t="s">
        <v>90</v>
      </c>
      <c r="B50" s="416"/>
      <c r="C50" s="416"/>
      <c r="D50" s="416"/>
      <c r="E50" s="416"/>
      <c r="F50" s="417" t="s">
        <v>91</v>
      </c>
      <c r="G50" s="391">
        <f>20*5</f>
        <v>100</v>
      </c>
      <c r="H50" s="407">
        <v>1</v>
      </c>
      <c r="I50" s="408"/>
      <c r="J50" s="334"/>
      <c r="K50" s="342"/>
    </row>
    <row r="51" spans="1:16">
      <c r="A51" s="418" t="s">
        <v>88</v>
      </c>
      <c r="B51" s="419"/>
      <c r="C51" s="419"/>
      <c r="D51" s="419"/>
      <c r="E51" s="420"/>
      <c r="F51" s="417" t="s">
        <v>91</v>
      </c>
      <c r="G51" s="391">
        <v>0</v>
      </c>
      <c r="H51" s="407"/>
      <c r="I51" s="408"/>
      <c r="J51" s="334"/>
      <c r="K51" s="342"/>
    </row>
    <row r="52" spans="1:16" ht="15.75" thickBot="1">
      <c r="A52" s="421" t="s">
        <v>89</v>
      </c>
      <c r="B52" s="422"/>
      <c r="C52" s="422"/>
      <c r="D52" s="422"/>
      <c r="E52" s="423"/>
      <c r="F52" s="424" t="s">
        <v>91</v>
      </c>
      <c r="G52" s="406">
        <v>30</v>
      </c>
      <c r="H52" s="357"/>
      <c r="I52" s="411"/>
      <c r="J52" s="334"/>
      <c r="K52" s="342"/>
    </row>
    <row r="53" spans="1:16">
      <c r="A53" s="425"/>
      <c r="B53" s="425"/>
      <c r="C53" s="425"/>
      <c r="D53" s="425"/>
      <c r="E53" s="425"/>
      <c r="F53" s="362"/>
      <c r="G53" s="362"/>
      <c r="H53" s="362"/>
      <c r="I53" s="426"/>
      <c r="J53" s="334"/>
      <c r="K53" s="342"/>
    </row>
    <row r="54" spans="1:16" s="22" customFormat="1" ht="15.75" thickBot="1">
      <c r="A54" s="427" t="s">
        <v>168</v>
      </c>
      <c r="B54" s="427"/>
      <c r="C54" s="427"/>
      <c r="D54" s="427"/>
      <c r="E54" s="427"/>
      <c r="F54" s="427"/>
      <c r="G54" s="427"/>
      <c r="H54" s="427"/>
      <c r="I54" s="427"/>
      <c r="J54" s="320" t="s">
        <v>262</v>
      </c>
      <c r="K54" s="428"/>
      <c r="L54" s="428"/>
    </row>
    <row r="55" spans="1:16" ht="25.5">
      <c r="A55" s="413" t="s">
        <v>20</v>
      </c>
      <c r="B55" s="414"/>
      <c r="C55" s="414"/>
      <c r="D55" s="414"/>
      <c r="E55" s="414"/>
      <c r="F55" s="330" t="s">
        <v>21</v>
      </c>
      <c r="G55" s="331" t="s">
        <v>22</v>
      </c>
      <c r="H55" s="331" t="s">
        <v>23</v>
      </c>
      <c r="I55" s="365" t="s">
        <v>7</v>
      </c>
      <c r="J55" s="334"/>
      <c r="K55" s="342"/>
      <c r="P55" t="s">
        <v>31</v>
      </c>
    </row>
    <row r="56" spans="1:16">
      <c r="A56" s="415" t="s">
        <v>169</v>
      </c>
      <c r="B56" s="416"/>
      <c r="C56" s="416"/>
      <c r="D56" s="416"/>
      <c r="E56" s="416"/>
      <c r="F56" s="417" t="s">
        <v>14</v>
      </c>
      <c r="G56" s="391">
        <f>60/0.8</f>
        <v>75</v>
      </c>
      <c r="H56" s="407">
        <v>1</v>
      </c>
      <c r="I56" s="408"/>
      <c r="J56" s="334"/>
      <c r="K56" s="342"/>
    </row>
    <row r="57" spans="1:16">
      <c r="A57" s="418" t="s">
        <v>69</v>
      </c>
      <c r="B57" s="419"/>
      <c r="C57" s="419"/>
      <c r="D57" s="419"/>
      <c r="E57" s="420"/>
      <c r="F57" s="417" t="s">
        <v>49</v>
      </c>
      <c r="G57" s="391">
        <f>60/0.8</f>
        <v>75</v>
      </c>
      <c r="H57" s="407"/>
      <c r="I57" s="408"/>
      <c r="J57" s="334"/>
      <c r="K57" s="342"/>
    </row>
    <row r="58" spans="1:16" ht="15.75" thickBot="1">
      <c r="A58" s="421" t="s">
        <v>67</v>
      </c>
      <c r="B58" s="422"/>
      <c r="C58" s="422"/>
      <c r="D58" s="422"/>
      <c r="E58" s="423"/>
      <c r="F58" s="424" t="s">
        <v>49</v>
      </c>
      <c r="G58" s="406">
        <v>70</v>
      </c>
      <c r="H58" s="357"/>
      <c r="I58" s="411"/>
      <c r="J58" s="334"/>
      <c r="K58" s="342"/>
    </row>
    <row r="59" spans="1:16">
      <c r="A59" s="425"/>
      <c r="B59" s="425"/>
      <c r="C59" s="425"/>
      <c r="D59" s="425"/>
      <c r="E59" s="425"/>
      <c r="F59" s="342"/>
      <c r="G59" s="349"/>
      <c r="H59" s="372"/>
      <c r="I59" s="342"/>
      <c r="J59" s="334"/>
      <c r="K59" s="342"/>
    </row>
    <row r="60" spans="1:16" s="21" customFormat="1" ht="15.75" thickBot="1">
      <c r="A60" s="427" t="s">
        <v>68</v>
      </c>
      <c r="B60" s="427"/>
      <c r="C60" s="427"/>
      <c r="D60" s="427"/>
      <c r="E60" s="427"/>
      <c r="F60" s="427"/>
      <c r="G60" s="427"/>
      <c r="H60" s="427"/>
      <c r="I60" s="427"/>
      <c r="J60" s="320" t="s">
        <v>261</v>
      </c>
      <c r="K60" s="429"/>
      <c r="L60" s="429"/>
    </row>
    <row r="61" spans="1:16" ht="25.5">
      <c r="A61" s="328" t="s">
        <v>20</v>
      </c>
      <c r="B61" s="329"/>
      <c r="C61" s="329"/>
      <c r="D61" s="329"/>
      <c r="E61" s="329"/>
      <c r="F61" s="430" t="s">
        <v>21</v>
      </c>
      <c r="G61" s="331" t="s">
        <v>22</v>
      </c>
      <c r="H61" s="331" t="s">
        <v>23</v>
      </c>
      <c r="I61" s="365" t="s">
        <v>7</v>
      </c>
      <c r="J61" s="334"/>
      <c r="K61" s="342"/>
      <c r="L61" s="409"/>
    </row>
    <row r="62" spans="1:16">
      <c r="A62" s="431" t="s">
        <v>71</v>
      </c>
      <c r="B62" s="432"/>
      <c r="C62" s="432"/>
      <c r="D62" s="432"/>
      <c r="E62" s="432"/>
      <c r="F62" s="417" t="s">
        <v>14</v>
      </c>
      <c r="G62" s="391">
        <f>200/0.8</f>
        <v>250</v>
      </c>
      <c r="H62" s="407">
        <v>1</v>
      </c>
      <c r="I62" s="408"/>
      <c r="J62" s="334"/>
      <c r="K62" s="342"/>
    </row>
    <row r="63" spans="1:16" ht="15" customHeight="1" thickBot="1">
      <c r="A63" s="421" t="s">
        <v>67</v>
      </c>
      <c r="B63" s="422"/>
      <c r="C63" s="422"/>
      <c r="D63" s="422"/>
      <c r="E63" s="423"/>
      <c r="F63" s="424" t="s">
        <v>49</v>
      </c>
      <c r="G63" s="406">
        <v>250</v>
      </c>
      <c r="H63" s="357"/>
      <c r="I63" s="411"/>
      <c r="J63" s="334"/>
      <c r="K63" s="342"/>
    </row>
    <row r="64" spans="1:16" ht="15" customHeight="1">
      <c r="A64" s="425"/>
      <c r="B64" s="425"/>
      <c r="C64" s="425"/>
      <c r="D64" s="425"/>
      <c r="E64" s="425"/>
      <c r="F64" s="362"/>
      <c r="G64" s="362"/>
      <c r="H64" s="362"/>
      <c r="I64" s="426"/>
      <c r="J64" s="334"/>
      <c r="K64" s="342"/>
    </row>
    <row r="65" spans="1:12" s="24" customFormat="1" ht="18.75" customHeight="1" thickBot="1">
      <c r="A65" s="427" t="s">
        <v>73</v>
      </c>
      <c r="B65" s="427"/>
      <c r="C65" s="427"/>
      <c r="D65" s="427"/>
      <c r="E65" s="427"/>
      <c r="F65" s="427"/>
      <c r="G65" s="427"/>
      <c r="H65" s="427"/>
      <c r="I65" s="427"/>
      <c r="J65" s="320" t="s">
        <v>261</v>
      </c>
      <c r="K65" s="433"/>
      <c r="L65" s="433"/>
    </row>
    <row r="66" spans="1:12" s="23" customFormat="1" ht="25.5">
      <c r="A66" s="328" t="s">
        <v>20</v>
      </c>
      <c r="B66" s="329"/>
      <c r="C66" s="329"/>
      <c r="D66" s="329"/>
      <c r="E66" s="329"/>
      <c r="F66" s="430" t="s">
        <v>21</v>
      </c>
      <c r="G66" s="331" t="s">
        <v>22</v>
      </c>
      <c r="H66" s="331" t="s">
        <v>23</v>
      </c>
      <c r="I66" s="365" t="s">
        <v>7</v>
      </c>
      <c r="J66" s="434"/>
      <c r="K66" s="429"/>
      <c r="L66" s="409"/>
    </row>
    <row r="67" spans="1:12" ht="15" customHeight="1" thickBot="1">
      <c r="A67" s="421" t="s">
        <v>170</v>
      </c>
      <c r="B67" s="422"/>
      <c r="C67" s="422"/>
      <c r="D67" s="422"/>
      <c r="E67" s="423"/>
      <c r="F67" s="424" t="s">
        <v>49</v>
      </c>
      <c r="G67" s="406">
        <v>500</v>
      </c>
      <c r="H67" s="406">
        <v>0.5</v>
      </c>
      <c r="I67" s="435"/>
      <c r="J67" s="334"/>
      <c r="K67" s="342"/>
    </row>
    <row r="68" spans="1:12" ht="10.5" customHeight="1">
      <c r="A68" s="425"/>
      <c r="B68" s="425"/>
      <c r="C68" s="425"/>
      <c r="D68" s="425"/>
      <c r="E68" s="425"/>
      <c r="F68" s="362"/>
      <c r="G68" s="362"/>
      <c r="H68" s="362"/>
      <c r="I68" s="426"/>
      <c r="J68" s="334"/>
      <c r="K68" s="342"/>
    </row>
    <row r="69" spans="1:12" s="4" customFormat="1" ht="15" customHeight="1" thickBot="1">
      <c r="A69" s="436" t="s">
        <v>75</v>
      </c>
      <c r="B69" s="436"/>
      <c r="C69" s="436"/>
      <c r="D69" s="436"/>
      <c r="E69" s="436"/>
      <c r="F69" s="436"/>
      <c r="G69" s="436"/>
      <c r="H69" s="436"/>
      <c r="I69" s="436"/>
      <c r="J69" s="320" t="s">
        <v>260</v>
      </c>
      <c r="K69" s="437"/>
      <c r="L69" s="438"/>
    </row>
    <row r="70" spans="1:12" ht="25.5">
      <c r="A70" s="328" t="s">
        <v>20</v>
      </c>
      <c r="B70" s="329"/>
      <c r="C70" s="329"/>
      <c r="D70" s="329"/>
      <c r="E70" s="329"/>
      <c r="F70" s="430" t="s">
        <v>21</v>
      </c>
      <c r="G70" s="331" t="s">
        <v>22</v>
      </c>
      <c r="H70" s="331" t="s">
        <v>23</v>
      </c>
      <c r="I70" s="365" t="s">
        <v>7</v>
      </c>
      <c r="J70" s="334"/>
      <c r="K70" s="342"/>
    </row>
    <row r="71" spans="1:12" ht="15" customHeight="1">
      <c r="A71" s="431" t="s">
        <v>93</v>
      </c>
      <c r="B71" s="432"/>
      <c r="C71" s="432"/>
      <c r="D71" s="432"/>
      <c r="E71" s="432"/>
      <c r="F71" s="417" t="s">
        <v>14</v>
      </c>
      <c r="G71" s="391">
        <f>100/0.8*2</f>
        <v>250</v>
      </c>
      <c r="H71" s="407">
        <v>1</v>
      </c>
      <c r="I71" s="408"/>
      <c r="J71" s="334"/>
      <c r="K71" s="342"/>
    </row>
    <row r="72" spans="1:12" ht="15" customHeight="1">
      <c r="A72" s="343" t="s">
        <v>94</v>
      </c>
      <c r="B72" s="344"/>
      <c r="C72" s="344"/>
      <c r="D72" s="344"/>
      <c r="E72" s="345"/>
      <c r="F72" s="417" t="s">
        <v>49</v>
      </c>
      <c r="G72" s="391">
        <v>250</v>
      </c>
      <c r="H72" s="407"/>
      <c r="I72" s="408"/>
      <c r="J72" s="334"/>
      <c r="K72" s="342"/>
    </row>
    <row r="73" spans="1:12" ht="15" customHeight="1" thickBot="1">
      <c r="A73" s="421" t="s">
        <v>76</v>
      </c>
      <c r="B73" s="422"/>
      <c r="C73" s="422"/>
      <c r="D73" s="422"/>
      <c r="E73" s="423"/>
      <c r="F73" s="424" t="s">
        <v>49</v>
      </c>
      <c r="G73" s="406">
        <v>100</v>
      </c>
      <c r="H73" s="357"/>
      <c r="I73" s="411"/>
      <c r="J73" s="334"/>
      <c r="K73" s="342"/>
    </row>
    <row r="74" spans="1:12" ht="11.25" customHeight="1">
      <c r="A74" s="425"/>
      <c r="B74" s="425"/>
      <c r="C74" s="425"/>
      <c r="D74" s="425"/>
      <c r="E74" s="425"/>
      <c r="F74" s="362"/>
      <c r="G74" s="362"/>
      <c r="H74" s="362"/>
      <c r="I74" s="426"/>
      <c r="J74" s="334"/>
      <c r="K74" s="342"/>
    </row>
    <row r="75" spans="1:12" s="4" customFormat="1" ht="15" customHeight="1" thickBot="1">
      <c r="A75" s="436" t="s">
        <v>161</v>
      </c>
      <c r="B75" s="436"/>
      <c r="C75" s="436"/>
      <c r="D75" s="436"/>
      <c r="E75" s="436"/>
      <c r="F75" s="436"/>
      <c r="G75" s="436"/>
      <c r="H75" s="436"/>
      <c r="I75" s="436"/>
      <c r="J75" s="439"/>
      <c r="K75" s="437"/>
      <c r="L75" s="438"/>
    </row>
    <row r="76" spans="1:12" ht="33" customHeight="1">
      <c r="A76" s="328" t="s">
        <v>20</v>
      </c>
      <c r="B76" s="329"/>
      <c r="C76" s="329"/>
      <c r="D76" s="329"/>
      <c r="E76" s="329"/>
      <c r="F76" s="430" t="s">
        <v>21</v>
      </c>
      <c r="G76" s="331" t="s">
        <v>22</v>
      </c>
      <c r="H76" s="331" t="s">
        <v>23</v>
      </c>
      <c r="I76" s="365" t="s">
        <v>7</v>
      </c>
      <c r="J76" s="320" t="s">
        <v>256</v>
      </c>
      <c r="K76" s="342"/>
    </row>
    <row r="77" spans="1:12" ht="26.25" customHeight="1">
      <c r="A77" s="440" t="s">
        <v>79</v>
      </c>
      <c r="B77" s="441"/>
      <c r="C77" s="441"/>
      <c r="D77" s="441"/>
      <c r="E77" s="442"/>
      <c r="F77" s="417" t="s">
        <v>14</v>
      </c>
      <c r="G77" s="443">
        <f>10000*(20%-12%)/365*15</f>
        <v>32.876712328767127</v>
      </c>
      <c r="H77" s="407">
        <v>1</v>
      </c>
      <c r="I77" s="408"/>
      <c r="J77" s="334" t="s">
        <v>53</v>
      </c>
      <c r="K77" s="342"/>
    </row>
    <row r="78" spans="1:12" ht="15" customHeight="1" thickBot="1">
      <c r="A78" s="421" t="s">
        <v>76</v>
      </c>
      <c r="B78" s="422"/>
      <c r="C78" s="422"/>
      <c r="D78" s="422"/>
      <c r="E78" s="423"/>
      <c r="F78" s="424" t="s">
        <v>49</v>
      </c>
      <c r="G78" s="410">
        <f>G77</f>
        <v>32.876712328767127</v>
      </c>
      <c r="H78" s="357"/>
      <c r="I78" s="411"/>
      <c r="J78" s="334"/>
      <c r="K78" s="342"/>
    </row>
    <row r="79" spans="1:12" ht="10.5" customHeight="1">
      <c r="A79" s="444"/>
      <c r="B79" s="444"/>
      <c r="C79" s="444"/>
      <c r="D79" s="444"/>
      <c r="E79" s="444"/>
      <c r="F79" s="362"/>
      <c r="G79" s="362"/>
      <c r="H79" s="362"/>
      <c r="I79" s="426"/>
      <c r="J79" s="334"/>
      <c r="K79" s="342"/>
    </row>
    <row r="80" spans="1:12" ht="15" customHeight="1" thickBot="1">
      <c r="A80" s="436" t="s">
        <v>80</v>
      </c>
      <c r="B80" s="436"/>
      <c r="C80" s="436"/>
      <c r="D80" s="436"/>
      <c r="E80" s="436"/>
      <c r="F80" s="436"/>
      <c r="G80" s="436"/>
      <c r="H80" s="436"/>
      <c r="I80" s="436"/>
      <c r="J80" s="320" t="s">
        <v>263</v>
      </c>
      <c r="K80" s="342"/>
    </row>
    <row r="81" spans="1:11" ht="25.5">
      <c r="A81" s="328" t="s">
        <v>20</v>
      </c>
      <c r="B81" s="329"/>
      <c r="C81" s="329"/>
      <c r="D81" s="329"/>
      <c r="E81" s="329"/>
      <c r="F81" s="430" t="s">
        <v>21</v>
      </c>
      <c r="G81" s="331" t="s">
        <v>22</v>
      </c>
      <c r="H81" s="331" t="s">
        <v>23</v>
      </c>
      <c r="I81" s="365" t="s">
        <v>7</v>
      </c>
      <c r="J81" s="334"/>
      <c r="K81" s="342"/>
    </row>
    <row r="82" spans="1:11" ht="15" customHeight="1">
      <c r="A82" s="343" t="s">
        <v>171</v>
      </c>
      <c r="B82" s="344"/>
      <c r="C82" s="344"/>
      <c r="D82" s="344"/>
      <c r="E82" s="345"/>
      <c r="F82" s="417" t="s">
        <v>14</v>
      </c>
      <c r="G82" s="443">
        <v>1500</v>
      </c>
      <c r="H82" s="407">
        <v>1</v>
      </c>
      <c r="I82" s="408"/>
      <c r="J82" s="334"/>
      <c r="K82" s="342"/>
    </row>
    <row r="83" spans="1:11" ht="15" customHeight="1" thickBot="1">
      <c r="A83" s="421" t="s">
        <v>76</v>
      </c>
      <c r="B83" s="422"/>
      <c r="C83" s="422"/>
      <c r="D83" s="422"/>
      <c r="E83" s="423"/>
      <c r="F83" s="424" t="s">
        <v>49</v>
      </c>
      <c r="G83" s="410">
        <f>G82</f>
        <v>1500</v>
      </c>
      <c r="H83" s="357"/>
      <c r="I83" s="411"/>
      <c r="J83" s="334"/>
      <c r="K83" s="342"/>
    </row>
    <row r="84" spans="1:11" ht="12" customHeight="1">
      <c r="A84" s="444"/>
      <c r="B84" s="444"/>
      <c r="C84" s="444"/>
      <c r="D84" s="444"/>
      <c r="E84" s="444"/>
      <c r="F84" s="362"/>
      <c r="G84" s="362"/>
      <c r="H84" s="362"/>
      <c r="I84" s="426"/>
      <c r="J84" s="334"/>
      <c r="K84" s="342"/>
    </row>
    <row r="85" spans="1:11" ht="15" customHeight="1" thickBot="1">
      <c r="A85" s="436" t="s">
        <v>83</v>
      </c>
      <c r="B85" s="436"/>
      <c r="C85" s="436"/>
      <c r="D85" s="436"/>
      <c r="E85" s="436"/>
      <c r="F85" s="436"/>
      <c r="G85" s="436"/>
      <c r="H85" s="436"/>
      <c r="I85" s="436"/>
      <c r="J85" s="320" t="s">
        <v>264</v>
      </c>
      <c r="K85" s="342"/>
    </row>
    <row r="86" spans="1:11" ht="33" customHeight="1">
      <c r="A86" s="328" t="s">
        <v>20</v>
      </c>
      <c r="B86" s="329"/>
      <c r="C86" s="329"/>
      <c r="D86" s="329"/>
      <c r="E86" s="329"/>
      <c r="F86" s="430" t="s">
        <v>21</v>
      </c>
      <c r="G86" s="331" t="s">
        <v>22</v>
      </c>
      <c r="H86" s="331" t="s">
        <v>23</v>
      </c>
      <c r="I86" s="365" t="s">
        <v>7</v>
      </c>
      <c r="J86" s="334"/>
      <c r="K86" s="342"/>
    </row>
    <row r="87" spans="1:11" ht="15" customHeight="1" thickBot="1">
      <c r="A87" s="445">
        <v>1000</v>
      </c>
      <c r="B87" s="446"/>
      <c r="C87" s="446"/>
      <c r="D87" s="446"/>
      <c r="E87" s="447"/>
      <c r="F87" s="424" t="s">
        <v>14</v>
      </c>
      <c r="G87" s="410">
        <v>1000</v>
      </c>
      <c r="H87" s="406">
        <v>1</v>
      </c>
      <c r="I87" s="435"/>
      <c r="J87" s="334"/>
      <c r="K87" s="342"/>
    </row>
    <row r="88" spans="1:11" ht="15" customHeight="1">
      <c r="A88" s="444"/>
      <c r="B88" s="444"/>
      <c r="C88" s="444"/>
      <c r="D88" s="444"/>
      <c r="E88" s="444"/>
      <c r="F88" s="362"/>
      <c r="G88" s="362"/>
      <c r="H88" s="362"/>
      <c r="I88" s="426"/>
      <c r="J88" s="334"/>
      <c r="K88" s="342"/>
    </row>
    <row r="89" spans="1:11" ht="15" customHeight="1" thickBot="1">
      <c r="A89" s="436" t="s">
        <v>84</v>
      </c>
      <c r="B89" s="436"/>
      <c r="C89" s="436"/>
      <c r="D89" s="436"/>
      <c r="E89" s="436"/>
      <c r="F89" s="436"/>
      <c r="G89" s="436"/>
      <c r="H89" s="436"/>
      <c r="I89" s="436"/>
      <c r="J89" s="334"/>
      <c r="K89" s="342"/>
    </row>
    <row r="90" spans="1:11" ht="25.5">
      <c r="A90" s="328" t="s">
        <v>20</v>
      </c>
      <c r="B90" s="329"/>
      <c r="C90" s="329"/>
      <c r="D90" s="329"/>
      <c r="E90" s="329"/>
      <c r="F90" s="430" t="s">
        <v>21</v>
      </c>
      <c r="G90" s="331" t="s">
        <v>22</v>
      </c>
      <c r="H90" s="331" t="s">
        <v>23</v>
      </c>
      <c r="I90" s="365" t="s">
        <v>7</v>
      </c>
      <c r="J90" s="334"/>
      <c r="K90" s="342"/>
    </row>
    <row r="91" spans="1:11" ht="15" customHeight="1" thickBot="1">
      <c r="A91" s="445" t="s">
        <v>96</v>
      </c>
      <c r="B91" s="446"/>
      <c r="C91" s="446"/>
      <c r="D91" s="446"/>
      <c r="E91" s="447"/>
      <c r="F91" s="424" t="s">
        <v>14</v>
      </c>
      <c r="G91" s="410">
        <f>4080/0.8</f>
        <v>5100</v>
      </c>
      <c r="H91" s="406">
        <v>1</v>
      </c>
      <c r="I91" s="435"/>
      <c r="J91" s="334" t="s">
        <v>272</v>
      </c>
      <c r="K91" s="342"/>
    </row>
    <row r="92" spans="1:11" ht="15" customHeight="1">
      <c r="A92" s="444"/>
      <c r="B92" s="444"/>
      <c r="C92" s="444"/>
      <c r="D92" s="444"/>
      <c r="E92" s="444"/>
      <c r="F92" s="362"/>
      <c r="G92" s="362"/>
      <c r="H92" s="362"/>
      <c r="I92" s="426"/>
      <c r="J92" s="334"/>
      <c r="K92" s="342"/>
    </row>
    <row r="93" spans="1:11" ht="15" customHeight="1" thickBot="1">
      <c r="A93" s="448" t="s">
        <v>97</v>
      </c>
      <c r="B93" s="448"/>
      <c r="C93" s="448"/>
      <c r="D93" s="448"/>
      <c r="E93" s="448"/>
      <c r="F93" s="362"/>
      <c r="G93" s="362"/>
      <c r="H93" s="362"/>
      <c r="I93" s="426"/>
      <c r="J93" s="334"/>
      <c r="K93" s="342"/>
    </row>
    <row r="94" spans="1:11" ht="25.5">
      <c r="A94" s="328" t="s">
        <v>20</v>
      </c>
      <c r="B94" s="329"/>
      <c r="C94" s="329"/>
      <c r="D94" s="329"/>
      <c r="E94" s="329"/>
      <c r="F94" s="430" t="s">
        <v>21</v>
      </c>
      <c r="G94" s="331" t="s">
        <v>22</v>
      </c>
      <c r="H94" s="331" t="s">
        <v>23</v>
      </c>
      <c r="I94" s="365" t="s">
        <v>7</v>
      </c>
      <c r="J94" s="334"/>
      <c r="K94" s="342"/>
    </row>
    <row r="95" spans="1:11" ht="15" customHeight="1">
      <c r="A95" s="343" t="s">
        <v>283</v>
      </c>
      <c r="B95" s="344"/>
      <c r="C95" s="344"/>
      <c r="D95" s="344"/>
      <c r="E95" s="345"/>
      <c r="F95" s="417" t="s">
        <v>14</v>
      </c>
      <c r="G95" s="443">
        <f>'ხელფასის უწყისი'!E11</f>
        <v>5073.5</v>
      </c>
      <c r="H95" s="368">
        <v>1</v>
      </c>
      <c r="I95" s="449"/>
      <c r="J95" s="334"/>
      <c r="K95" s="342"/>
    </row>
    <row r="96" spans="1:11" ht="25.5">
      <c r="A96" s="450" t="s">
        <v>284</v>
      </c>
      <c r="B96" s="451"/>
      <c r="C96" s="451"/>
      <c r="D96" s="451"/>
      <c r="E96" s="452"/>
      <c r="F96" s="391" t="s">
        <v>162</v>
      </c>
      <c r="G96" s="391">
        <f>G95*20%</f>
        <v>1014.7</v>
      </c>
      <c r="H96" s="401"/>
      <c r="I96" s="453"/>
      <c r="J96" s="334"/>
      <c r="K96" s="454"/>
    </row>
    <row r="97" spans="1:15" ht="30.75" customHeight="1" thickBot="1">
      <c r="A97" s="455" t="s">
        <v>285</v>
      </c>
      <c r="B97" s="456"/>
      <c r="C97" s="456"/>
      <c r="D97" s="456"/>
      <c r="E97" s="457"/>
      <c r="F97" s="406"/>
      <c r="G97" s="406">
        <f>(G95-G96)/4</f>
        <v>1014.7</v>
      </c>
      <c r="H97" s="406">
        <v>0.5</v>
      </c>
      <c r="I97" s="458"/>
      <c r="J97" s="334"/>
      <c r="K97" s="342"/>
    </row>
    <row r="98" spans="1:15" ht="10.5" customHeight="1">
      <c r="A98" s="444"/>
      <c r="B98" s="444"/>
      <c r="C98" s="444"/>
      <c r="D98" s="444"/>
      <c r="E98" s="444"/>
      <c r="F98" s="362"/>
      <c r="G98" s="362"/>
      <c r="H98" s="362"/>
      <c r="I98" s="426"/>
      <c r="J98" s="334"/>
      <c r="K98" s="342"/>
    </row>
    <row r="99" spans="1:15" s="4" customFormat="1" ht="15.75" thickBot="1">
      <c r="A99" s="459" t="s">
        <v>101</v>
      </c>
      <c r="B99" s="459"/>
      <c r="C99" s="459"/>
      <c r="D99" s="459"/>
      <c r="E99" s="459"/>
      <c r="F99" s="459"/>
      <c r="G99" s="459"/>
      <c r="H99" s="459"/>
      <c r="I99" s="459"/>
      <c r="J99" s="334" t="s">
        <v>265</v>
      </c>
      <c r="K99" s="437"/>
      <c r="L99" s="438"/>
    </row>
    <row r="100" spans="1:15" ht="26.25" thickBot="1">
      <c r="A100" s="328" t="s">
        <v>20</v>
      </c>
      <c r="B100" s="329"/>
      <c r="C100" s="329"/>
      <c r="D100" s="329"/>
      <c r="E100" s="329"/>
      <c r="F100" s="460" t="s">
        <v>21</v>
      </c>
      <c r="G100" s="461" t="s">
        <v>22</v>
      </c>
      <c r="H100" s="461" t="s">
        <v>23</v>
      </c>
      <c r="I100" s="462" t="s">
        <v>7</v>
      </c>
      <c r="J100" s="334"/>
      <c r="K100" s="342"/>
    </row>
    <row r="101" spans="1:15" ht="36.75" customHeight="1">
      <c r="A101" s="463">
        <v>10000</v>
      </c>
      <c r="B101" s="464"/>
      <c r="C101" s="464"/>
      <c r="D101" s="464"/>
      <c r="E101" s="465"/>
      <c r="F101" s="331" t="s">
        <v>26</v>
      </c>
      <c r="G101" s="331">
        <f>A101</f>
        <v>10000</v>
      </c>
      <c r="H101" s="466">
        <v>0.5</v>
      </c>
      <c r="I101" s="467"/>
      <c r="J101" s="334" t="s">
        <v>176</v>
      </c>
      <c r="K101" s="342"/>
    </row>
    <row r="102" spans="1:15" ht="27" customHeight="1" thickBot="1">
      <c r="A102" s="395" t="s">
        <v>42</v>
      </c>
      <c r="B102" s="396"/>
      <c r="C102" s="396"/>
      <c r="D102" s="396"/>
      <c r="E102" s="397"/>
      <c r="F102" s="398" t="s">
        <v>24</v>
      </c>
      <c r="G102" s="398">
        <f>G101*5%</f>
        <v>500</v>
      </c>
      <c r="H102" s="393"/>
      <c r="I102" s="468"/>
      <c r="J102" s="334" t="s">
        <v>177</v>
      </c>
      <c r="K102" s="342"/>
    </row>
    <row r="103" spans="1:15" ht="40.9" customHeight="1">
      <c r="A103" s="328">
        <v>10000</v>
      </c>
      <c r="B103" s="329"/>
      <c r="C103" s="329"/>
      <c r="D103" s="329"/>
      <c r="E103" s="329"/>
      <c r="F103" s="331" t="s">
        <v>29</v>
      </c>
      <c r="G103" s="331">
        <v>10000</v>
      </c>
      <c r="H103" s="466">
        <v>0.5</v>
      </c>
      <c r="I103" s="469"/>
      <c r="J103" s="334" t="s">
        <v>176</v>
      </c>
      <c r="K103" s="342"/>
      <c r="O103" t="s">
        <v>31</v>
      </c>
    </row>
    <row r="104" spans="1:15" ht="39" customHeight="1" thickBot="1">
      <c r="A104" s="470" t="s">
        <v>42</v>
      </c>
      <c r="B104" s="471"/>
      <c r="C104" s="471"/>
      <c r="D104" s="471"/>
      <c r="E104" s="471"/>
      <c r="F104" s="406" t="s">
        <v>24</v>
      </c>
      <c r="G104" s="406">
        <f>G103*5%</f>
        <v>500</v>
      </c>
      <c r="H104" s="370"/>
      <c r="I104" s="361"/>
      <c r="J104" s="334" t="s">
        <v>177</v>
      </c>
      <c r="K104" s="342"/>
    </row>
    <row r="105" spans="1:15" ht="35.25" customHeight="1">
      <c r="A105" s="472">
        <v>0</v>
      </c>
      <c r="B105" s="353"/>
      <c r="C105" s="353"/>
      <c r="D105" s="353"/>
      <c r="E105" s="353"/>
      <c r="F105" s="473" t="s">
        <v>27</v>
      </c>
      <c r="G105" s="473">
        <v>0</v>
      </c>
      <c r="H105" s="401">
        <v>0.5</v>
      </c>
      <c r="I105" s="474"/>
      <c r="J105" s="334" t="s">
        <v>178</v>
      </c>
      <c r="K105" s="342"/>
    </row>
    <row r="106" spans="1:15" ht="29.25" customHeight="1" thickBot="1">
      <c r="A106" s="470">
        <v>0</v>
      </c>
      <c r="B106" s="471"/>
      <c r="C106" s="471"/>
      <c r="D106" s="471"/>
      <c r="E106" s="471"/>
      <c r="F106" s="406" t="s">
        <v>24</v>
      </c>
      <c r="G106" s="406">
        <v>0</v>
      </c>
      <c r="H106" s="357"/>
      <c r="I106" s="475"/>
      <c r="J106" s="334" t="s">
        <v>178</v>
      </c>
      <c r="K106" s="342"/>
    </row>
    <row r="107" spans="1:15" ht="51">
      <c r="A107" s="328">
        <v>30000</v>
      </c>
      <c r="B107" s="329"/>
      <c r="C107" s="329"/>
      <c r="D107" s="329"/>
      <c r="E107" s="329"/>
      <c r="F107" s="331" t="s">
        <v>28</v>
      </c>
      <c r="G107" s="331">
        <f>A107</f>
        <v>30000</v>
      </c>
      <c r="H107" s="476">
        <v>0.5</v>
      </c>
      <c r="I107" s="477"/>
      <c r="J107" s="372" t="s">
        <v>180</v>
      </c>
      <c r="K107" s="342"/>
    </row>
    <row r="108" spans="1:15" ht="35.450000000000003" customHeight="1" thickBot="1">
      <c r="A108" s="478" t="s">
        <v>43</v>
      </c>
      <c r="B108" s="338"/>
      <c r="C108" s="338"/>
      <c r="D108" s="338"/>
      <c r="E108" s="338"/>
      <c r="F108" s="398" t="s">
        <v>24</v>
      </c>
      <c r="G108" s="398">
        <f>G107*5%</f>
        <v>1500</v>
      </c>
      <c r="H108" s="368"/>
      <c r="I108" s="474"/>
      <c r="J108" s="372" t="s">
        <v>179</v>
      </c>
      <c r="K108" s="342"/>
    </row>
    <row r="109" spans="1:15" ht="30" customHeight="1">
      <c r="A109" s="328">
        <v>20000</v>
      </c>
      <c r="B109" s="329"/>
      <c r="C109" s="329"/>
      <c r="D109" s="329"/>
      <c r="E109" s="329"/>
      <c r="F109" s="331" t="s">
        <v>99</v>
      </c>
      <c r="G109" s="331">
        <v>20000</v>
      </c>
      <c r="H109" s="466">
        <v>0.5</v>
      </c>
      <c r="I109" s="477"/>
      <c r="J109" s="372" t="s">
        <v>182</v>
      </c>
      <c r="K109" s="342"/>
    </row>
    <row r="110" spans="1:15" ht="35.450000000000003" customHeight="1" thickBot="1">
      <c r="A110" s="470" t="s">
        <v>100</v>
      </c>
      <c r="B110" s="471"/>
      <c r="C110" s="471"/>
      <c r="D110" s="471"/>
      <c r="E110" s="471"/>
      <c r="F110" s="406" t="s">
        <v>24</v>
      </c>
      <c r="G110" s="406">
        <f>G109*5%</f>
        <v>1000</v>
      </c>
      <c r="H110" s="370"/>
      <c r="I110" s="475"/>
      <c r="J110" s="372" t="s">
        <v>181</v>
      </c>
      <c r="K110" s="342"/>
    </row>
    <row r="111" spans="1:15" ht="16.5" customHeight="1">
      <c r="A111" s="342"/>
      <c r="B111" s="342"/>
      <c r="C111" s="342"/>
      <c r="D111" s="342"/>
      <c r="E111" s="342"/>
      <c r="F111" s="342"/>
      <c r="G111" s="349"/>
      <c r="H111" s="372"/>
      <c r="I111" s="342"/>
      <c r="J111" s="334"/>
      <c r="K111" s="342"/>
    </row>
    <row r="112" spans="1:15" ht="22.5" customHeight="1" thickBot="1">
      <c r="A112" s="459" t="s">
        <v>116</v>
      </c>
      <c r="B112" s="459"/>
      <c r="C112" s="459"/>
      <c r="D112" s="459"/>
      <c r="E112" s="459"/>
      <c r="F112" s="459"/>
      <c r="G112" s="459"/>
      <c r="H112" s="459"/>
      <c r="I112" s="459"/>
      <c r="J112" s="334" t="s">
        <v>266</v>
      </c>
      <c r="K112" s="342"/>
    </row>
    <row r="113" spans="1:11" ht="26.25" thickBot="1">
      <c r="A113" s="338" t="s">
        <v>20</v>
      </c>
      <c r="B113" s="338"/>
      <c r="C113" s="338"/>
      <c r="D113" s="338"/>
      <c r="E113" s="338"/>
      <c r="F113" s="479" t="s">
        <v>21</v>
      </c>
      <c r="G113" s="480" t="s">
        <v>22</v>
      </c>
      <c r="H113" s="480" t="s">
        <v>23</v>
      </c>
      <c r="I113" s="481" t="s">
        <v>7</v>
      </c>
      <c r="J113" s="334"/>
      <c r="K113" s="342"/>
    </row>
    <row r="114" spans="1:11" ht="27" customHeight="1">
      <c r="A114" s="482" t="s">
        <v>109</v>
      </c>
      <c r="B114" s="483"/>
      <c r="C114" s="483"/>
      <c r="D114" s="483"/>
      <c r="E114" s="484"/>
      <c r="F114" s="331" t="s">
        <v>14</v>
      </c>
      <c r="G114" s="331">
        <v>3500</v>
      </c>
      <c r="H114" s="466">
        <v>0.5</v>
      </c>
      <c r="I114" s="467"/>
      <c r="J114" s="334" t="s">
        <v>187</v>
      </c>
      <c r="K114" s="342"/>
    </row>
    <row r="115" spans="1:11" ht="39" thickBot="1">
      <c r="A115" s="485" t="s">
        <v>111</v>
      </c>
      <c r="B115" s="486"/>
      <c r="C115" s="486"/>
      <c r="D115" s="486"/>
      <c r="E115" s="487"/>
      <c r="F115" s="406" t="s">
        <v>110</v>
      </c>
      <c r="G115" s="406">
        <v>0</v>
      </c>
      <c r="H115" s="370"/>
      <c r="I115" s="488"/>
      <c r="J115" s="334" t="s">
        <v>183</v>
      </c>
      <c r="K115" s="342"/>
    </row>
    <row r="116" spans="1:11" ht="24.75" customHeight="1">
      <c r="A116" s="482" t="s">
        <v>113</v>
      </c>
      <c r="B116" s="483"/>
      <c r="C116" s="483"/>
      <c r="D116" s="483"/>
      <c r="E116" s="484"/>
      <c r="F116" s="331" t="s">
        <v>14</v>
      </c>
      <c r="G116" s="331">
        <v>1000</v>
      </c>
      <c r="H116" s="466">
        <v>0.5</v>
      </c>
      <c r="I116" s="469"/>
      <c r="J116" s="334" t="s">
        <v>187</v>
      </c>
      <c r="K116" s="342"/>
    </row>
    <row r="117" spans="1:11" ht="39" thickBot="1">
      <c r="A117" s="470" t="s">
        <v>112</v>
      </c>
      <c r="B117" s="471"/>
      <c r="C117" s="471"/>
      <c r="D117" s="471"/>
      <c r="E117" s="471"/>
      <c r="F117" s="406" t="s">
        <v>110</v>
      </c>
      <c r="G117" s="406">
        <v>0</v>
      </c>
      <c r="H117" s="370"/>
      <c r="I117" s="361"/>
      <c r="J117" s="334" t="s">
        <v>183</v>
      </c>
      <c r="K117" s="342"/>
    </row>
    <row r="118" spans="1:11" ht="27" customHeight="1">
      <c r="A118" s="482" t="s">
        <v>108</v>
      </c>
      <c r="B118" s="483"/>
      <c r="C118" s="483"/>
      <c r="D118" s="483"/>
      <c r="E118" s="484"/>
      <c r="F118" s="391" t="s">
        <v>14</v>
      </c>
      <c r="G118" s="331">
        <v>15000</v>
      </c>
      <c r="H118" s="476">
        <v>0.5</v>
      </c>
      <c r="I118" s="477"/>
      <c r="J118" s="334" t="s">
        <v>187</v>
      </c>
      <c r="K118" s="342"/>
    </row>
    <row r="119" spans="1:11" ht="27.75" customHeight="1" thickBot="1">
      <c r="A119" s="470" t="s">
        <v>106</v>
      </c>
      <c r="B119" s="471"/>
      <c r="C119" s="471"/>
      <c r="D119" s="471"/>
      <c r="E119" s="471"/>
      <c r="F119" s="406" t="s">
        <v>24</v>
      </c>
      <c r="G119" s="406">
        <f>G118*0</f>
        <v>0</v>
      </c>
      <c r="H119" s="357"/>
      <c r="I119" s="475"/>
      <c r="J119" s="334" t="s">
        <v>183</v>
      </c>
      <c r="K119" s="342"/>
    </row>
    <row r="120" spans="1:11" ht="27.75" customHeight="1">
      <c r="A120" s="482" t="s">
        <v>104</v>
      </c>
      <c r="B120" s="483"/>
      <c r="C120" s="483"/>
      <c r="D120" s="483"/>
      <c r="E120" s="484"/>
      <c r="F120" s="391" t="s">
        <v>14</v>
      </c>
      <c r="G120" s="331">
        <v>2000</v>
      </c>
      <c r="H120" s="476">
        <v>0.5</v>
      </c>
      <c r="I120" s="477"/>
      <c r="J120" s="372" t="s">
        <v>269</v>
      </c>
      <c r="K120" s="342"/>
    </row>
    <row r="121" spans="1:11" ht="26.25" customHeight="1" thickBot="1">
      <c r="A121" s="470" t="s">
        <v>102</v>
      </c>
      <c r="B121" s="471"/>
      <c r="C121" s="471"/>
      <c r="D121" s="471"/>
      <c r="E121" s="471"/>
      <c r="F121" s="406" t="s">
        <v>24</v>
      </c>
      <c r="G121" s="406">
        <f>G120*15%</f>
        <v>300</v>
      </c>
      <c r="H121" s="357"/>
      <c r="I121" s="475"/>
      <c r="J121" s="334" t="s">
        <v>267</v>
      </c>
      <c r="K121" s="342"/>
    </row>
    <row r="122" spans="1:11" ht="24.75" customHeight="1">
      <c r="A122" s="482" t="s">
        <v>103</v>
      </c>
      <c r="B122" s="483"/>
      <c r="C122" s="483"/>
      <c r="D122" s="483"/>
      <c r="E122" s="484"/>
      <c r="F122" s="391" t="s">
        <v>14</v>
      </c>
      <c r="G122" s="331">
        <v>25000</v>
      </c>
      <c r="H122" s="476">
        <v>0.5</v>
      </c>
      <c r="I122" s="477"/>
      <c r="J122" s="334" t="s">
        <v>184</v>
      </c>
      <c r="K122" s="342"/>
    </row>
    <row r="123" spans="1:11" ht="43.5" customHeight="1" thickBot="1">
      <c r="A123" s="470" t="s">
        <v>268</v>
      </c>
      <c r="B123" s="471"/>
      <c r="C123" s="471"/>
      <c r="D123" s="471"/>
      <c r="E123" s="471"/>
      <c r="F123" s="406" t="s">
        <v>24</v>
      </c>
      <c r="G123" s="398">
        <v>0</v>
      </c>
      <c r="H123" s="368"/>
      <c r="I123" s="474"/>
      <c r="J123" s="372" t="s">
        <v>185</v>
      </c>
      <c r="K123" s="342"/>
    </row>
    <row r="124" spans="1:11" ht="28.5" customHeight="1">
      <c r="A124" s="482" t="s">
        <v>105</v>
      </c>
      <c r="B124" s="483"/>
      <c r="C124" s="483"/>
      <c r="D124" s="483"/>
      <c r="E124" s="484"/>
      <c r="F124" s="391" t="s">
        <v>14</v>
      </c>
      <c r="G124" s="391">
        <v>12000</v>
      </c>
      <c r="H124" s="368">
        <v>0.5</v>
      </c>
      <c r="I124" s="489"/>
      <c r="J124" s="334" t="s">
        <v>184</v>
      </c>
      <c r="K124" s="342"/>
    </row>
    <row r="125" spans="1:11" ht="39" thickBot="1">
      <c r="A125" s="490" t="s">
        <v>107</v>
      </c>
      <c r="B125" s="491"/>
      <c r="C125" s="491"/>
      <c r="D125" s="491"/>
      <c r="E125" s="492"/>
      <c r="F125" s="398" t="s">
        <v>110</v>
      </c>
      <c r="G125" s="398">
        <f>G124*5%</f>
        <v>600</v>
      </c>
      <c r="H125" s="393"/>
      <c r="I125" s="493"/>
      <c r="J125" s="334" t="s">
        <v>184</v>
      </c>
      <c r="K125" s="342"/>
    </row>
    <row r="126" spans="1:11" ht="22.5" customHeight="1">
      <c r="A126" s="494" t="s">
        <v>114</v>
      </c>
      <c r="B126" s="495"/>
      <c r="C126" s="495"/>
      <c r="D126" s="495"/>
      <c r="E126" s="495"/>
      <c r="F126" s="331" t="s">
        <v>14</v>
      </c>
      <c r="G126" s="331">
        <f>10000*12%/12*6</f>
        <v>600</v>
      </c>
      <c r="H126" s="466">
        <v>0.5</v>
      </c>
      <c r="I126" s="477"/>
      <c r="J126" s="334" t="s">
        <v>184</v>
      </c>
      <c r="K126" s="342"/>
    </row>
    <row r="127" spans="1:11" ht="34.5" customHeight="1" thickBot="1">
      <c r="A127" s="496" t="s">
        <v>115</v>
      </c>
      <c r="B127" s="497"/>
      <c r="C127" s="497"/>
      <c r="D127" s="497"/>
      <c r="E127" s="497"/>
      <c r="F127" s="406" t="s">
        <v>24</v>
      </c>
      <c r="G127" s="406">
        <f>G126*5%</f>
        <v>30</v>
      </c>
      <c r="H127" s="370"/>
      <c r="I127" s="475"/>
      <c r="J127" s="334" t="s">
        <v>184</v>
      </c>
      <c r="K127" s="342"/>
    </row>
    <row r="128" spans="1:11" ht="16.5" customHeight="1">
      <c r="A128" s="498"/>
      <c r="B128" s="498"/>
      <c r="C128" s="498"/>
      <c r="D128" s="498"/>
      <c r="E128" s="498"/>
      <c r="F128" s="362"/>
      <c r="G128" s="362"/>
      <c r="H128" s="362"/>
      <c r="I128" s="498"/>
      <c r="J128" s="334"/>
      <c r="K128" s="342"/>
    </row>
    <row r="129" spans="1:18" ht="22.5" customHeight="1" thickBot="1">
      <c r="A129" s="459" t="s">
        <v>124</v>
      </c>
      <c r="B129" s="459"/>
      <c r="C129" s="459"/>
      <c r="D129" s="459"/>
      <c r="E129" s="459"/>
      <c r="F129" s="459"/>
      <c r="G129" s="459"/>
      <c r="H129" s="459"/>
      <c r="I129" s="459"/>
      <c r="J129" s="334"/>
      <c r="K129" s="342"/>
    </row>
    <row r="130" spans="1:18" ht="26.25" thickBot="1">
      <c r="A130" s="338" t="s">
        <v>20</v>
      </c>
      <c r="B130" s="338"/>
      <c r="C130" s="338"/>
      <c r="D130" s="338"/>
      <c r="E130" s="338"/>
      <c r="F130" s="479" t="s">
        <v>21</v>
      </c>
      <c r="G130" s="480" t="s">
        <v>22</v>
      </c>
      <c r="H130" s="480" t="s">
        <v>23</v>
      </c>
      <c r="I130" s="481" t="s">
        <v>7</v>
      </c>
      <c r="J130" s="334"/>
      <c r="K130" s="342"/>
    </row>
    <row r="131" spans="1:18" ht="30" customHeight="1">
      <c r="A131" s="482" t="s">
        <v>117</v>
      </c>
      <c r="B131" s="483"/>
      <c r="C131" s="483"/>
      <c r="D131" s="483"/>
      <c r="E131" s="484"/>
      <c r="F131" s="331" t="s">
        <v>14</v>
      </c>
      <c r="G131" s="331">
        <v>5500</v>
      </c>
      <c r="H131" s="466">
        <v>0.5</v>
      </c>
      <c r="I131" s="467"/>
      <c r="J131" s="372" t="s">
        <v>280</v>
      </c>
      <c r="K131" s="342"/>
    </row>
    <row r="132" spans="1:18" ht="40.5" customHeight="1" thickBot="1">
      <c r="A132" s="485" t="s">
        <v>118</v>
      </c>
      <c r="B132" s="486"/>
      <c r="C132" s="486"/>
      <c r="D132" s="486"/>
      <c r="E132" s="487"/>
      <c r="F132" s="406" t="s">
        <v>110</v>
      </c>
      <c r="G132" s="406">
        <v>0</v>
      </c>
      <c r="H132" s="370"/>
      <c r="I132" s="488"/>
      <c r="J132" s="334"/>
      <c r="K132" s="342"/>
    </row>
    <row r="133" spans="1:18" ht="25.5" customHeight="1">
      <c r="A133" s="482" t="s">
        <v>119</v>
      </c>
      <c r="B133" s="483"/>
      <c r="C133" s="483"/>
      <c r="D133" s="483"/>
      <c r="E133" s="484"/>
      <c r="F133" s="331" t="s">
        <v>14</v>
      </c>
      <c r="G133" s="331">
        <v>1000</v>
      </c>
      <c r="H133" s="466">
        <v>0.5</v>
      </c>
      <c r="I133" s="469"/>
      <c r="J133" s="334" t="s">
        <v>188</v>
      </c>
      <c r="K133" s="342"/>
    </row>
    <row r="134" spans="1:18" ht="36" customHeight="1" thickBot="1">
      <c r="A134" s="470" t="s">
        <v>120</v>
      </c>
      <c r="B134" s="471"/>
      <c r="C134" s="471"/>
      <c r="D134" s="471"/>
      <c r="E134" s="471"/>
      <c r="F134" s="406" t="s">
        <v>121</v>
      </c>
      <c r="G134" s="406">
        <f>G133*20%</f>
        <v>200</v>
      </c>
      <c r="H134" s="370"/>
      <c r="I134" s="361"/>
      <c r="J134" s="334" t="s">
        <v>189</v>
      </c>
      <c r="K134" s="342"/>
      <c r="R134" t="s">
        <v>31</v>
      </c>
    </row>
    <row r="135" spans="1:18" ht="43.5" customHeight="1">
      <c r="A135" s="482" t="s">
        <v>108</v>
      </c>
      <c r="B135" s="483"/>
      <c r="C135" s="483"/>
      <c r="D135" s="483"/>
      <c r="E135" s="484"/>
      <c r="F135" s="391" t="s">
        <v>14</v>
      </c>
      <c r="G135" s="331">
        <v>5000</v>
      </c>
      <c r="H135" s="476">
        <v>0.5</v>
      </c>
      <c r="I135" s="477"/>
      <c r="J135" s="372" t="s">
        <v>280</v>
      </c>
      <c r="K135" s="342"/>
    </row>
    <row r="136" spans="1:18" ht="44.25" customHeight="1" thickBot="1">
      <c r="A136" s="470" t="s">
        <v>122</v>
      </c>
      <c r="B136" s="471"/>
      <c r="C136" s="471"/>
      <c r="D136" s="471"/>
      <c r="E136" s="471"/>
      <c r="F136" s="406" t="s">
        <v>110</v>
      </c>
      <c r="G136" s="406">
        <f>G135*0</f>
        <v>0</v>
      </c>
      <c r="H136" s="357"/>
      <c r="I136" s="475"/>
      <c r="J136" s="334"/>
      <c r="K136" s="342"/>
    </row>
    <row r="137" spans="1:18" ht="46.5" customHeight="1">
      <c r="A137" s="482" t="s">
        <v>163</v>
      </c>
      <c r="B137" s="483"/>
      <c r="C137" s="483"/>
      <c r="D137" s="483"/>
      <c r="E137" s="484"/>
      <c r="F137" s="391" t="s">
        <v>14</v>
      </c>
      <c r="G137" s="331">
        <v>4000</v>
      </c>
      <c r="H137" s="476">
        <v>0.5</v>
      </c>
      <c r="I137" s="477"/>
      <c r="J137" s="334" t="s">
        <v>194</v>
      </c>
      <c r="K137" s="499"/>
    </row>
    <row r="138" spans="1:18" ht="30.75" customHeight="1" thickBot="1">
      <c r="A138" s="470" t="s">
        <v>270</v>
      </c>
      <c r="B138" s="471"/>
      <c r="C138" s="471"/>
      <c r="D138" s="471"/>
      <c r="E138" s="471"/>
      <c r="F138" s="406" t="s">
        <v>24</v>
      </c>
      <c r="G138" s="406">
        <f>G137*15%</f>
        <v>600</v>
      </c>
      <c r="H138" s="357"/>
      <c r="I138" s="475"/>
      <c r="J138" s="334" t="s">
        <v>271</v>
      </c>
      <c r="K138" s="342"/>
    </row>
    <row r="139" spans="1:18" ht="54" customHeight="1">
      <c r="A139" s="482" t="s">
        <v>123</v>
      </c>
      <c r="B139" s="483"/>
      <c r="C139" s="483"/>
      <c r="D139" s="483"/>
      <c r="E139" s="484"/>
      <c r="F139" s="391" t="s">
        <v>14</v>
      </c>
      <c r="G139" s="331">
        <v>20000</v>
      </c>
      <c r="H139" s="476">
        <v>0.5</v>
      </c>
      <c r="I139" s="477"/>
      <c r="J139" s="372" t="s">
        <v>198</v>
      </c>
      <c r="K139" s="342"/>
    </row>
    <row r="140" spans="1:18" ht="26.25" customHeight="1" thickBot="1">
      <c r="A140" s="478" t="s">
        <v>193</v>
      </c>
      <c r="B140" s="338"/>
      <c r="C140" s="338"/>
      <c r="D140" s="338"/>
      <c r="E140" s="338"/>
      <c r="F140" s="398" t="s">
        <v>24</v>
      </c>
      <c r="G140" s="398">
        <v>0</v>
      </c>
      <c r="H140" s="368"/>
      <c r="I140" s="474"/>
      <c r="J140" s="334" t="s">
        <v>197</v>
      </c>
      <c r="K140" s="342"/>
    </row>
    <row r="141" spans="1:18" ht="26.25" customHeight="1">
      <c r="A141" s="482" t="s">
        <v>105</v>
      </c>
      <c r="B141" s="483"/>
      <c r="C141" s="483"/>
      <c r="D141" s="483"/>
      <c r="E141" s="484"/>
      <c r="F141" s="331" t="s">
        <v>14</v>
      </c>
      <c r="G141" s="331">
        <v>10000</v>
      </c>
      <c r="H141" s="466">
        <v>0.5</v>
      </c>
      <c r="I141" s="500"/>
      <c r="J141" s="334" t="s">
        <v>196</v>
      </c>
      <c r="K141" s="342"/>
    </row>
    <row r="142" spans="1:18" ht="24.75" customHeight="1" thickBot="1">
      <c r="A142" s="403" t="s">
        <v>42</v>
      </c>
      <c r="B142" s="404"/>
      <c r="C142" s="404"/>
      <c r="D142" s="404"/>
      <c r="E142" s="405"/>
      <c r="F142" s="406" t="s">
        <v>110</v>
      </c>
      <c r="G142" s="406">
        <f>G141*5%</f>
        <v>500</v>
      </c>
      <c r="H142" s="370"/>
      <c r="I142" s="501"/>
      <c r="J142" s="334" t="s">
        <v>195</v>
      </c>
      <c r="K142" s="342"/>
    </row>
    <row r="143" spans="1:18" ht="15.75" customHeight="1">
      <c r="A143" s="498"/>
      <c r="B143" s="498"/>
      <c r="C143" s="498"/>
      <c r="D143" s="498"/>
      <c r="E143" s="498"/>
      <c r="F143" s="362"/>
      <c r="G143" s="362"/>
      <c r="H143" s="362"/>
      <c r="I143" s="498"/>
      <c r="J143" s="334"/>
      <c r="K143" s="342"/>
    </row>
    <row r="144" spans="1:18" ht="15.75" thickBot="1">
      <c r="A144" s="502" t="s">
        <v>125</v>
      </c>
      <c r="B144" s="502"/>
      <c r="C144" s="502"/>
      <c r="D144" s="502"/>
      <c r="E144" s="502"/>
      <c r="F144" s="502"/>
      <c r="G144" s="502"/>
      <c r="H144" s="502"/>
      <c r="I144" s="502"/>
      <c r="J144" s="334"/>
      <c r="K144" s="342"/>
    </row>
    <row r="145" spans="1:11" ht="25.5">
      <c r="A145" s="503" t="s">
        <v>20</v>
      </c>
      <c r="B145" s="504"/>
      <c r="C145" s="504"/>
      <c r="D145" s="504"/>
      <c r="E145" s="505"/>
      <c r="F145" s="330" t="s">
        <v>21</v>
      </c>
      <c r="G145" s="331" t="s">
        <v>22</v>
      </c>
      <c r="H145" s="331" t="s">
        <v>23</v>
      </c>
      <c r="I145" s="365" t="s">
        <v>7</v>
      </c>
      <c r="J145" s="334"/>
      <c r="K145" s="342"/>
    </row>
    <row r="146" spans="1:11">
      <c r="A146" s="335" t="s">
        <v>126</v>
      </c>
      <c r="B146" s="336"/>
      <c r="C146" s="336"/>
      <c r="D146" s="336"/>
      <c r="E146" s="337"/>
      <c r="F146" s="366" t="s">
        <v>14</v>
      </c>
      <c r="G146" s="391">
        <v>5000</v>
      </c>
      <c r="H146" s="368">
        <v>0.5</v>
      </c>
      <c r="I146" s="341"/>
      <c r="J146" s="334" t="s">
        <v>204</v>
      </c>
      <c r="K146" s="342"/>
    </row>
    <row r="147" spans="1:11" ht="29.45" customHeight="1" thickBot="1">
      <c r="A147" s="470" t="s">
        <v>127</v>
      </c>
      <c r="B147" s="471"/>
      <c r="C147" s="471"/>
      <c r="D147" s="471"/>
      <c r="E147" s="471"/>
      <c r="F147" s="406" t="s">
        <v>24</v>
      </c>
      <c r="G147" s="406">
        <f>G146*10%</f>
        <v>500</v>
      </c>
      <c r="H147" s="370"/>
      <c r="I147" s="361"/>
      <c r="J147" s="334" t="s">
        <v>205</v>
      </c>
      <c r="K147" s="342"/>
    </row>
    <row r="148" spans="1:11">
      <c r="A148" s="342"/>
      <c r="B148" s="342"/>
      <c r="C148" s="342"/>
      <c r="D148" s="342"/>
      <c r="E148" s="342"/>
      <c r="F148" s="342"/>
      <c r="G148" s="349"/>
      <c r="H148" s="372"/>
      <c r="I148" s="342"/>
      <c r="J148" s="334"/>
      <c r="K148" s="342"/>
    </row>
    <row r="149" spans="1:11" ht="15.75" thickBot="1">
      <c r="A149" s="502" t="s">
        <v>132</v>
      </c>
      <c r="B149" s="502"/>
      <c r="C149" s="502"/>
      <c r="D149" s="502"/>
      <c r="E149" s="502"/>
      <c r="F149" s="502"/>
      <c r="G149" s="502"/>
      <c r="H149" s="502"/>
      <c r="I149" s="502"/>
      <c r="J149" s="334"/>
      <c r="K149" s="342"/>
    </row>
    <row r="150" spans="1:11" ht="25.5">
      <c r="A150" s="503" t="s">
        <v>20</v>
      </c>
      <c r="B150" s="504"/>
      <c r="C150" s="504"/>
      <c r="D150" s="504"/>
      <c r="E150" s="505"/>
      <c r="F150" s="330" t="s">
        <v>21</v>
      </c>
      <c r="G150" s="331" t="s">
        <v>22</v>
      </c>
      <c r="H150" s="331" t="s">
        <v>23</v>
      </c>
      <c r="I150" s="365" t="s">
        <v>7</v>
      </c>
      <c r="J150" s="334"/>
      <c r="K150" s="342"/>
    </row>
    <row r="151" spans="1:11">
      <c r="A151" s="335" t="s">
        <v>274</v>
      </c>
      <c r="B151" s="336"/>
      <c r="C151" s="336"/>
      <c r="D151" s="336"/>
      <c r="E151" s="337"/>
      <c r="F151" s="366" t="s">
        <v>14</v>
      </c>
      <c r="G151" s="506">
        <f>15000/0.9</f>
        <v>16666.666666666668</v>
      </c>
      <c r="H151" s="368">
        <v>0.5</v>
      </c>
      <c r="I151" s="341"/>
      <c r="J151" s="334" t="s">
        <v>204</v>
      </c>
      <c r="K151" s="342"/>
    </row>
    <row r="152" spans="1:11" ht="26.25" thickBot="1">
      <c r="A152" s="470" t="s">
        <v>273</v>
      </c>
      <c r="B152" s="471"/>
      <c r="C152" s="471"/>
      <c r="D152" s="471"/>
      <c r="E152" s="471"/>
      <c r="F152" s="406" t="s">
        <v>24</v>
      </c>
      <c r="G152" s="410">
        <f>G151*10%</f>
        <v>1666.666666666667</v>
      </c>
      <c r="H152" s="370"/>
      <c r="I152" s="361"/>
      <c r="J152" s="334" t="s">
        <v>205</v>
      </c>
      <c r="K152" s="342"/>
    </row>
    <row r="153" spans="1:11">
      <c r="A153" s="342"/>
      <c r="B153" s="342"/>
      <c r="C153" s="342"/>
      <c r="D153" s="342"/>
      <c r="E153" s="342"/>
      <c r="F153" s="342"/>
      <c r="G153" s="349"/>
      <c r="H153" s="372"/>
      <c r="I153" s="342"/>
      <c r="J153" s="334"/>
      <c r="K153" s="342"/>
    </row>
    <row r="154" spans="1:11" ht="33" customHeight="1" thickBot="1">
      <c r="A154" s="507" t="s">
        <v>133</v>
      </c>
      <c r="B154" s="507"/>
      <c r="C154" s="507"/>
      <c r="D154" s="507"/>
      <c r="E154" s="507"/>
      <c r="F154" s="507"/>
      <c r="G154" s="507"/>
      <c r="H154" s="507"/>
      <c r="I154" s="507"/>
      <c r="J154" s="334"/>
      <c r="K154" s="342"/>
    </row>
    <row r="155" spans="1:11" ht="25.5">
      <c r="A155" s="328" t="s">
        <v>20</v>
      </c>
      <c r="B155" s="329"/>
      <c r="C155" s="329"/>
      <c r="D155" s="329"/>
      <c r="E155" s="329"/>
      <c r="F155" s="330" t="s">
        <v>21</v>
      </c>
      <c r="G155" s="331" t="s">
        <v>22</v>
      </c>
      <c r="H155" s="331" t="s">
        <v>23</v>
      </c>
      <c r="I155" s="365" t="s">
        <v>7</v>
      </c>
      <c r="J155" s="334"/>
      <c r="K155" s="342"/>
    </row>
    <row r="156" spans="1:11" ht="21" customHeight="1">
      <c r="A156" s="335" t="s">
        <v>129</v>
      </c>
      <c r="B156" s="336"/>
      <c r="C156" s="336"/>
      <c r="D156" s="336"/>
      <c r="E156" s="337"/>
      <c r="F156" s="366" t="s">
        <v>14</v>
      </c>
      <c r="G156" s="506">
        <v>8500</v>
      </c>
      <c r="H156" s="407">
        <v>0.5</v>
      </c>
      <c r="I156" s="508"/>
      <c r="J156" s="372" t="s">
        <v>234</v>
      </c>
      <c r="K156" s="342"/>
    </row>
    <row r="157" spans="1:11" ht="26.45" customHeight="1" thickBot="1">
      <c r="A157" s="485" t="s">
        <v>131</v>
      </c>
      <c r="B157" s="486"/>
      <c r="C157" s="486"/>
      <c r="D157" s="486"/>
      <c r="E157" s="487"/>
      <c r="F157" s="509" t="s">
        <v>24</v>
      </c>
      <c r="G157" s="510">
        <f>G156*4%</f>
        <v>340</v>
      </c>
      <c r="H157" s="357"/>
      <c r="I157" s="511"/>
      <c r="J157" s="372" t="s">
        <v>235</v>
      </c>
      <c r="K157" s="512"/>
    </row>
    <row r="158" spans="1:11">
      <c r="A158" s="342"/>
      <c r="B158" s="342"/>
      <c r="C158" s="342"/>
      <c r="D158" s="342"/>
      <c r="E158" s="342"/>
      <c r="F158" s="342"/>
      <c r="G158" s="349"/>
      <c r="H158" s="372"/>
      <c r="I158" s="342"/>
      <c r="J158" s="334"/>
      <c r="K158" s="342"/>
    </row>
    <row r="159" spans="1:11" ht="15.75" thickBot="1">
      <c r="A159" s="459" t="s">
        <v>134</v>
      </c>
      <c r="B159" s="459"/>
      <c r="C159" s="459"/>
      <c r="D159" s="459"/>
      <c r="E159" s="459"/>
      <c r="F159" s="459"/>
      <c r="G159" s="459"/>
      <c r="H159" s="459"/>
      <c r="I159" s="459"/>
      <c r="J159" s="334"/>
      <c r="K159" s="512"/>
    </row>
    <row r="160" spans="1:11" ht="26.25" thickBot="1">
      <c r="A160" s="338" t="s">
        <v>20</v>
      </c>
      <c r="B160" s="338"/>
      <c r="C160" s="338"/>
      <c r="D160" s="338"/>
      <c r="E160" s="338"/>
      <c r="F160" s="479" t="s">
        <v>21</v>
      </c>
      <c r="G160" s="480" t="s">
        <v>22</v>
      </c>
      <c r="H160" s="480" t="s">
        <v>23</v>
      </c>
      <c r="I160" s="481" t="s">
        <v>7</v>
      </c>
      <c r="J160" s="334"/>
      <c r="K160" s="512"/>
    </row>
    <row r="161" spans="1:12" ht="15" customHeight="1">
      <c r="A161" s="482" t="s">
        <v>135</v>
      </c>
      <c r="B161" s="483"/>
      <c r="C161" s="483"/>
      <c r="D161" s="483"/>
      <c r="E161" s="484"/>
      <c r="F161" s="331" t="s">
        <v>14</v>
      </c>
      <c r="G161" s="331">
        <v>15000</v>
      </c>
      <c r="H161" s="466">
        <v>0.5</v>
      </c>
      <c r="I161" s="467"/>
      <c r="J161" s="334" t="s">
        <v>238</v>
      </c>
      <c r="K161" s="342"/>
    </row>
    <row r="162" spans="1:12" ht="39" thickBot="1">
      <c r="A162" s="485" t="s">
        <v>130</v>
      </c>
      <c r="B162" s="486"/>
      <c r="C162" s="486"/>
      <c r="D162" s="486"/>
      <c r="E162" s="487"/>
      <c r="F162" s="406" t="s">
        <v>110</v>
      </c>
      <c r="G162" s="406">
        <f>G161*5%*0%</f>
        <v>0</v>
      </c>
      <c r="H162" s="370"/>
      <c r="I162" s="488"/>
      <c r="J162" s="372" t="s">
        <v>185</v>
      </c>
      <c r="K162" s="342"/>
    </row>
    <row r="163" spans="1:12">
      <c r="A163" s="342"/>
      <c r="B163" s="342"/>
      <c r="C163" s="342"/>
      <c r="D163" s="342"/>
      <c r="E163" s="342"/>
      <c r="F163" s="342"/>
      <c r="G163" s="349"/>
      <c r="H163" s="372"/>
      <c r="I163" s="342"/>
      <c r="J163" s="334"/>
      <c r="K163" s="342"/>
    </row>
    <row r="164" spans="1:12" ht="15" customHeight="1" thickBot="1">
      <c r="A164" s="502" t="s">
        <v>136</v>
      </c>
      <c r="B164" s="502"/>
      <c r="C164" s="502"/>
      <c r="D164" s="502"/>
      <c r="E164" s="502"/>
      <c r="F164" s="502"/>
      <c r="G164" s="502"/>
      <c r="H164" s="502"/>
      <c r="I164" s="502"/>
      <c r="J164" s="334"/>
      <c r="K164" s="342"/>
    </row>
    <row r="165" spans="1:12" ht="25.5">
      <c r="A165" s="328" t="s">
        <v>20</v>
      </c>
      <c r="B165" s="329"/>
      <c r="C165" s="329"/>
      <c r="D165" s="329"/>
      <c r="E165" s="329"/>
      <c r="F165" s="330" t="s">
        <v>21</v>
      </c>
      <c r="G165" s="331" t="s">
        <v>22</v>
      </c>
      <c r="H165" s="331" t="s">
        <v>23</v>
      </c>
      <c r="I165" s="365" t="s">
        <v>7</v>
      </c>
      <c r="J165" s="334"/>
      <c r="K165" s="342"/>
    </row>
    <row r="166" spans="1:12" ht="34.5" customHeight="1">
      <c r="A166" s="350" t="s">
        <v>164</v>
      </c>
      <c r="B166" s="351"/>
      <c r="C166" s="351"/>
      <c r="D166" s="351"/>
      <c r="E166" s="352"/>
      <c r="F166" s="366" t="s">
        <v>14</v>
      </c>
      <c r="G166" s="391">
        <v>0</v>
      </c>
      <c r="H166" s="368">
        <v>0.5</v>
      </c>
      <c r="I166" s="341"/>
      <c r="J166" s="372" t="s">
        <v>239</v>
      </c>
      <c r="K166" s="342"/>
    </row>
    <row r="167" spans="1:12">
      <c r="A167" s="513" t="s">
        <v>128</v>
      </c>
      <c r="B167" s="514"/>
      <c r="C167" s="514"/>
      <c r="D167" s="514"/>
      <c r="E167" s="514"/>
      <c r="F167" s="407" t="s">
        <v>24</v>
      </c>
      <c r="G167" s="407">
        <v>0</v>
      </c>
      <c r="H167" s="393"/>
      <c r="I167" s="348"/>
      <c r="J167" s="334"/>
      <c r="K167" s="342"/>
    </row>
    <row r="168" spans="1:12" ht="15.75" thickBot="1">
      <c r="A168" s="470"/>
      <c r="B168" s="471"/>
      <c r="C168" s="471"/>
      <c r="D168" s="471"/>
      <c r="E168" s="471"/>
      <c r="F168" s="357"/>
      <c r="G168" s="357"/>
      <c r="H168" s="370"/>
      <c r="I168" s="361"/>
      <c r="J168" s="334"/>
      <c r="K168" s="342"/>
    </row>
    <row r="169" spans="1:12">
      <c r="A169" s="342"/>
      <c r="B169" s="342"/>
      <c r="C169" s="342"/>
      <c r="D169" s="342"/>
      <c r="E169" s="342"/>
      <c r="F169" s="342"/>
      <c r="G169" s="349"/>
      <c r="H169" s="372"/>
      <c r="I169" s="342"/>
      <c r="J169" s="334"/>
      <c r="K169" s="342"/>
    </row>
    <row r="170" spans="1:12" ht="15.75" thickBot="1">
      <c r="A170" s="502" t="s">
        <v>137</v>
      </c>
      <c r="B170" s="502"/>
      <c r="C170" s="502"/>
      <c r="D170" s="502"/>
      <c r="E170" s="502"/>
      <c r="F170" s="502"/>
      <c r="G170" s="502"/>
      <c r="H170" s="502"/>
      <c r="I170" s="502"/>
      <c r="J170" s="334"/>
      <c r="K170" s="342"/>
    </row>
    <row r="171" spans="1:12" ht="25.5">
      <c r="A171" s="328" t="s">
        <v>20</v>
      </c>
      <c r="B171" s="329"/>
      <c r="C171" s="329"/>
      <c r="D171" s="329"/>
      <c r="E171" s="329"/>
      <c r="F171" s="330" t="s">
        <v>21</v>
      </c>
      <c r="G171" s="331" t="s">
        <v>22</v>
      </c>
      <c r="H171" s="331" t="s">
        <v>23</v>
      </c>
      <c r="I171" s="365" t="s">
        <v>7</v>
      </c>
      <c r="J171" s="334"/>
      <c r="K171" s="342"/>
    </row>
    <row r="172" spans="1:12" ht="25.5">
      <c r="A172" s="350" t="s">
        <v>275</v>
      </c>
      <c r="B172" s="351"/>
      <c r="C172" s="351"/>
      <c r="D172" s="351"/>
      <c r="E172" s="352"/>
      <c r="F172" s="366" t="s">
        <v>14</v>
      </c>
      <c r="G172" s="443">
        <f>10000/0.9</f>
        <v>11111.111111111111</v>
      </c>
      <c r="H172" s="368">
        <v>0.5</v>
      </c>
      <c r="I172" s="341"/>
      <c r="J172" s="372" t="s">
        <v>242</v>
      </c>
      <c r="K172" s="342"/>
    </row>
    <row r="173" spans="1:12" ht="25.5">
      <c r="A173" s="513" t="s">
        <v>276</v>
      </c>
      <c r="B173" s="514"/>
      <c r="C173" s="514"/>
      <c r="D173" s="514"/>
      <c r="E173" s="514"/>
      <c r="F173" s="407" t="s">
        <v>24</v>
      </c>
      <c r="G173" s="515">
        <f>G172*10%</f>
        <v>1111.1111111111111</v>
      </c>
      <c r="H173" s="393"/>
      <c r="I173" s="348"/>
      <c r="J173" s="372" t="s">
        <v>241</v>
      </c>
      <c r="K173" s="342"/>
    </row>
    <row r="174" spans="1:12" ht="15.75" thickBot="1">
      <c r="A174" s="470"/>
      <c r="B174" s="471"/>
      <c r="C174" s="471"/>
      <c r="D174" s="471"/>
      <c r="E174" s="471"/>
      <c r="F174" s="357"/>
      <c r="G174" s="516"/>
      <c r="H174" s="370"/>
      <c r="I174" s="361"/>
      <c r="J174" s="334"/>
      <c r="K174" s="342"/>
    </row>
    <row r="175" spans="1:12">
      <c r="A175" s="342"/>
      <c r="B175" s="342"/>
      <c r="C175" s="342"/>
      <c r="D175" s="342"/>
      <c r="E175" s="342"/>
      <c r="F175" s="342"/>
      <c r="G175" s="349"/>
      <c r="H175" s="372"/>
      <c r="I175" s="342"/>
      <c r="J175" s="334"/>
      <c r="K175" s="342"/>
    </row>
    <row r="176" spans="1:12" s="4" customFormat="1">
      <c r="A176" s="517" t="s">
        <v>144</v>
      </c>
      <c r="B176" s="517"/>
      <c r="C176" s="517"/>
      <c r="D176" s="517"/>
      <c r="E176" s="517"/>
      <c r="F176" s="437"/>
      <c r="G176" s="518"/>
      <c r="H176" s="519"/>
      <c r="I176" s="437"/>
      <c r="J176" s="439"/>
      <c r="K176" s="437"/>
      <c r="L176" s="438"/>
    </row>
    <row r="177" spans="1:11" ht="26.25" thickBot="1">
      <c r="A177" s="338" t="s">
        <v>20</v>
      </c>
      <c r="B177" s="338"/>
      <c r="C177" s="338"/>
      <c r="D177" s="338"/>
      <c r="E177" s="338"/>
      <c r="F177" s="520" t="s">
        <v>21</v>
      </c>
      <c r="G177" s="398" t="s">
        <v>22</v>
      </c>
      <c r="H177" s="398" t="s">
        <v>23</v>
      </c>
      <c r="I177" s="521" t="s">
        <v>7</v>
      </c>
      <c r="J177" s="334"/>
      <c r="K177" s="342"/>
    </row>
    <row r="178" spans="1:11" ht="29.25" customHeight="1">
      <c r="A178" s="482" t="s">
        <v>324</v>
      </c>
      <c r="B178" s="483"/>
      <c r="C178" s="483"/>
      <c r="D178" s="483"/>
      <c r="E178" s="484"/>
      <c r="F178" s="330" t="s">
        <v>14</v>
      </c>
      <c r="G178" s="331">
        <f>950/0.95</f>
        <v>1000</v>
      </c>
      <c r="H178" s="466">
        <v>0.5</v>
      </c>
      <c r="I178" s="469"/>
      <c r="J178" s="334" t="s">
        <v>245</v>
      </c>
      <c r="K178" s="342"/>
    </row>
    <row r="179" spans="1:11">
      <c r="A179" s="513" t="s">
        <v>138</v>
      </c>
      <c r="B179" s="514"/>
      <c r="C179" s="514"/>
      <c r="D179" s="514"/>
      <c r="E179" s="514"/>
      <c r="F179" s="407" t="s">
        <v>24</v>
      </c>
      <c r="G179" s="368">
        <f>G178*5%</f>
        <v>50</v>
      </c>
      <c r="H179" s="393"/>
      <c r="I179" s="348"/>
      <c r="J179" s="334" t="s">
        <v>244</v>
      </c>
      <c r="K179" s="342"/>
    </row>
    <row r="180" spans="1:11" ht="15.75" thickBot="1">
      <c r="A180" s="470"/>
      <c r="B180" s="471"/>
      <c r="C180" s="471"/>
      <c r="D180" s="471"/>
      <c r="E180" s="471"/>
      <c r="F180" s="357"/>
      <c r="G180" s="370"/>
      <c r="H180" s="370"/>
      <c r="I180" s="361"/>
      <c r="J180" s="334"/>
      <c r="K180" s="342"/>
    </row>
    <row r="181" spans="1:11" ht="30" customHeight="1">
      <c r="A181" s="522" t="s">
        <v>325</v>
      </c>
      <c r="B181" s="476"/>
      <c r="C181" s="476"/>
      <c r="D181" s="476"/>
      <c r="E181" s="476"/>
      <c r="F181" s="330" t="s">
        <v>14</v>
      </c>
      <c r="G181" s="523">
        <v>1500</v>
      </c>
      <c r="H181" s="476">
        <v>0.5</v>
      </c>
      <c r="I181" s="500"/>
      <c r="J181" s="334" t="s">
        <v>246</v>
      </c>
      <c r="K181" s="342"/>
    </row>
    <row r="182" spans="1:11">
      <c r="A182" s="395" t="s">
        <v>139</v>
      </c>
      <c r="B182" s="396"/>
      <c r="C182" s="396"/>
      <c r="D182" s="396"/>
      <c r="E182" s="397"/>
      <c r="F182" s="407" t="s">
        <v>24</v>
      </c>
      <c r="G182" s="407">
        <f>G181*20%</f>
        <v>300</v>
      </c>
      <c r="H182" s="407"/>
      <c r="I182" s="489"/>
      <c r="J182" s="334" t="s">
        <v>247</v>
      </c>
      <c r="K182" s="342"/>
    </row>
    <row r="183" spans="1:11" ht="15.75" thickBot="1">
      <c r="A183" s="524"/>
      <c r="B183" s="525"/>
      <c r="C183" s="525"/>
      <c r="D183" s="525"/>
      <c r="E183" s="526"/>
      <c r="F183" s="357"/>
      <c r="G183" s="357"/>
      <c r="H183" s="357"/>
      <c r="I183" s="501"/>
      <c r="J183" s="334"/>
      <c r="K183" s="342"/>
    </row>
    <row r="184" spans="1:11" ht="38.25" customHeight="1">
      <c r="A184" s="482" t="s">
        <v>326</v>
      </c>
      <c r="B184" s="483"/>
      <c r="C184" s="483"/>
      <c r="D184" s="483"/>
      <c r="E184" s="484"/>
      <c r="F184" s="330" t="s">
        <v>14</v>
      </c>
      <c r="G184" s="331">
        <v>0</v>
      </c>
      <c r="H184" s="466">
        <v>0.5</v>
      </c>
      <c r="I184" s="469"/>
      <c r="J184" s="372" t="s">
        <v>239</v>
      </c>
      <c r="K184" s="342"/>
    </row>
    <row r="185" spans="1:11">
      <c r="A185" s="513" t="s">
        <v>140</v>
      </c>
      <c r="B185" s="514"/>
      <c r="C185" s="514"/>
      <c r="D185" s="514"/>
      <c r="E185" s="514"/>
      <c r="F185" s="407" t="s">
        <v>24</v>
      </c>
      <c r="G185" s="407">
        <v>0</v>
      </c>
      <c r="H185" s="393"/>
      <c r="I185" s="348"/>
      <c r="J185" s="334"/>
      <c r="K185" s="342"/>
    </row>
    <row r="186" spans="1:11" ht="15.75" thickBot="1">
      <c r="A186" s="470"/>
      <c r="B186" s="471"/>
      <c r="C186" s="471"/>
      <c r="D186" s="471"/>
      <c r="E186" s="471"/>
      <c r="F186" s="357"/>
      <c r="G186" s="357"/>
      <c r="H186" s="370"/>
      <c r="I186" s="361"/>
      <c r="J186" s="334"/>
      <c r="K186" s="342"/>
    </row>
    <row r="187" spans="1:11" ht="28.5" customHeight="1">
      <c r="A187" s="482" t="s">
        <v>327</v>
      </c>
      <c r="B187" s="483"/>
      <c r="C187" s="483"/>
      <c r="D187" s="483"/>
      <c r="E187" s="484"/>
      <c r="F187" s="330" t="s">
        <v>14</v>
      </c>
      <c r="G187" s="331">
        <v>0</v>
      </c>
      <c r="H187" s="466">
        <v>0.5</v>
      </c>
      <c r="I187" s="469"/>
      <c r="J187" s="334" t="s">
        <v>246</v>
      </c>
      <c r="K187" s="342"/>
    </row>
    <row r="188" spans="1:11">
      <c r="A188" s="513">
        <v>0</v>
      </c>
      <c r="B188" s="514"/>
      <c r="C188" s="514"/>
      <c r="D188" s="514"/>
      <c r="E188" s="514"/>
      <c r="F188" s="407" t="s">
        <v>24</v>
      </c>
      <c r="G188" s="407">
        <v>0</v>
      </c>
      <c r="H188" s="393"/>
      <c r="I188" s="348"/>
      <c r="J188" s="334" t="s">
        <v>247</v>
      </c>
      <c r="K188" s="342"/>
    </row>
    <row r="189" spans="1:11" ht="15.75" thickBot="1">
      <c r="A189" s="470"/>
      <c r="B189" s="471"/>
      <c r="C189" s="471"/>
      <c r="D189" s="471"/>
      <c r="E189" s="471"/>
      <c r="F189" s="357"/>
      <c r="G189" s="357"/>
      <c r="H189" s="370"/>
      <c r="I189" s="361"/>
      <c r="J189" s="334"/>
      <c r="K189" s="342"/>
    </row>
    <row r="190" spans="1:11" ht="25.5">
      <c r="A190" s="527" t="s">
        <v>328</v>
      </c>
      <c r="B190" s="483"/>
      <c r="C190" s="483"/>
      <c r="D190" s="483"/>
      <c r="E190" s="484"/>
      <c r="F190" s="330" t="s">
        <v>14</v>
      </c>
      <c r="G190" s="331">
        <v>0</v>
      </c>
      <c r="H190" s="466">
        <v>0.5</v>
      </c>
      <c r="I190" s="477"/>
      <c r="J190" s="528" t="s">
        <v>142</v>
      </c>
      <c r="K190" s="372"/>
    </row>
    <row r="191" spans="1:11">
      <c r="A191" s="513" t="s">
        <v>141</v>
      </c>
      <c r="B191" s="514"/>
      <c r="C191" s="514"/>
      <c r="D191" s="514"/>
      <c r="E191" s="514"/>
      <c r="F191" s="407" t="s">
        <v>24</v>
      </c>
      <c r="G191" s="407">
        <f>G190*20%</f>
        <v>0</v>
      </c>
      <c r="H191" s="393"/>
      <c r="I191" s="474"/>
      <c r="J191" s="334"/>
      <c r="K191" s="342"/>
    </row>
    <row r="192" spans="1:11" ht="15.75" thickBot="1">
      <c r="A192" s="470"/>
      <c r="B192" s="471"/>
      <c r="C192" s="471"/>
      <c r="D192" s="471"/>
      <c r="E192" s="471"/>
      <c r="F192" s="357"/>
      <c r="G192" s="357"/>
      <c r="H192" s="370"/>
      <c r="I192" s="475"/>
      <c r="J192" s="334"/>
      <c r="K192" s="342"/>
    </row>
    <row r="193" spans="1:13" ht="32.25" customHeight="1">
      <c r="A193" s="527" t="s">
        <v>329</v>
      </c>
      <c r="B193" s="483"/>
      <c r="C193" s="483"/>
      <c r="D193" s="483"/>
      <c r="E193" s="484"/>
      <c r="F193" s="330" t="s">
        <v>14</v>
      </c>
      <c r="G193" s="331">
        <f>2400/0.8</f>
        <v>3000</v>
      </c>
      <c r="H193" s="466">
        <v>0.5</v>
      </c>
      <c r="I193" s="477"/>
      <c r="J193" s="334" t="s">
        <v>246</v>
      </c>
      <c r="K193" s="342"/>
    </row>
    <row r="194" spans="1:13">
      <c r="A194" s="513" t="s">
        <v>45</v>
      </c>
      <c r="B194" s="514"/>
      <c r="C194" s="514"/>
      <c r="D194" s="514"/>
      <c r="E194" s="514"/>
      <c r="F194" s="407" t="s">
        <v>24</v>
      </c>
      <c r="G194" s="407">
        <f>G193*20%</f>
        <v>600</v>
      </c>
      <c r="H194" s="393"/>
      <c r="I194" s="474"/>
      <c r="J194" s="334" t="s">
        <v>247</v>
      </c>
      <c r="K194" s="342"/>
    </row>
    <row r="195" spans="1:13" ht="15.75" thickBot="1">
      <c r="A195" s="478"/>
      <c r="B195" s="338"/>
      <c r="C195" s="338"/>
      <c r="D195" s="338"/>
      <c r="E195" s="338"/>
      <c r="F195" s="368"/>
      <c r="G195" s="368"/>
      <c r="H195" s="393"/>
      <c r="I195" s="474"/>
      <c r="J195" s="334"/>
      <c r="K195" s="342"/>
    </row>
    <row r="196" spans="1:13" ht="39" customHeight="1">
      <c r="A196" s="522" t="s">
        <v>330</v>
      </c>
      <c r="B196" s="476"/>
      <c r="C196" s="476"/>
      <c r="D196" s="476"/>
      <c r="E196" s="476"/>
      <c r="F196" s="330" t="s">
        <v>14</v>
      </c>
      <c r="G196" s="331">
        <f>1500/0.8</f>
        <v>1875</v>
      </c>
      <c r="H196" s="476">
        <v>0.5</v>
      </c>
      <c r="I196" s="500"/>
      <c r="J196" s="334" t="s">
        <v>246</v>
      </c>
      <c r="K196" s="342"/>
    </row>
    <row r="197" spans="1:13">
      <c r="A197" s="395" t="s">
        <v>143</v>
      </c>
      <c r="B197" s="396"/>
      <c r="C197" s="396"/>
      <c r="D197" s="396"/>
      <c r="E197" s="397"/>
      <c r="F197" s="407" t="s">
        <v>24</v>
      </c>
      <c r="G197" s="407">
        <f>G196*20%</f>
        <v>375</v>
      </c>
      <c r="H197" s="407"/>
      <c r="I197" s="489"/>
      <c r="J197" s="334" t="s">
        <v>247</v>
      </c>
      <c r="K197" s="342"/>
    </row>
    <row r="198" spans="1:13" ht="15.75" thickBot="1">
      <c r="A198" s="524"/>
      <c r="B198" s="525"/>
      <c r="C198" s="525"/>
      <c r="D198" s="525"/>
      <c r="E198" s="526"/>
      <c r="F198" s="357"/>
      <c r="G198" s="357"/>
      <c r="H198" s="357"/>
      <c r="I198" s="501"/>
      <c r="J198" s="334"/>
      <c r="K198" s="342"/>
    </row>
    <row r="199" spans="1:13">
      <c r="A199" s="342"/>
      <c r="B199" s="342"/>
      <c r="C199" s="342"/>
      <c r="D199" s="342"/>
      <c r="E199" s="342"/>
      <c r="F199" s="342"/>
      <c r="G199" s="349"/>
      <c r="H199" s="372"/>
      <c r="I199" s="342"/>
      <c r="J199" s="334"/>
      <c r="K199" s="342"/>
    </row>
    <row r="200" spans="1:13" ht="15.75" thickBot="1">
      <c r="A200" s="529" t="s">
        <v>145</v>
      </c>
      <c r="B200" s="529"/>
      <c r="C200" s="529"/>
      <c r="D200" s="529"/>
      <c r="E200" s="529"/>
      <c r="F200" s="437"/>
      <c r="G200" s="518"/>
      <c r="H200" s="519"/>
      <c r="I200" s="437"/>
      <c r="J200" s="334"/>
      <c r="K200" s="342"/>
    </row>
    <row r="201" spans="1:13" ht="26.25" thickBot="1">
      <c r="A201" s="530" t="s">
        <v>20</v>
      </c>
      <c r="B201" s="531"/>
      <c r="C201" s="531"/>
      <c r="D201" s="531"/>
      <c r="E201" s="531"/>
      <c r="F201" s="460" t="s">
        <v>21</v>
      </c>
      <c r="G201" s="461" t="s">
        <v>22</v>
      </c>
      <c r="H201" s="461" t="s">
        <v>23</v>
      </c>
      <c r="I201" s="462" t="s">
        <v>7</v>
      </c>
      <c r="J201" s="334"/>
      <c r="K201" s="342"/>
    </row>
    <row r="202" spans="1:13" ht="27" customHeight="1">
      <c r="A202" s="527" t="s">
        <v>331</v>
      </c>
      <c r="B202" s="483"/>
      <c r="C202" s="483"/>
      <c r="D202" s="483"/>
      <c r="E202" s="484"/>
      <c r="F202" s="330" t="s">
        <v>14</v>
      </c>
      <c r="G202" s="523">
        <f>700/0.784</f>
        <v>892.85714285714278</v>
      </c>
      <c r="H202" s="466">
        <v>0.5</v>
      </c>
      <c r="I202" s="469"/>
      <c r="J202" s="334" t="s">
        <v>246</v>
      </c>
      <c r="K202" s="342"/>
      <c r="M202" t="s">
        <v>31</v>
      </c>
    </row>
    <row r="203" spans="1:13" ht="38.25" customHeight="1">
      <c r="A203" s="350" t="s">
        <v>147</v>
      </c>
      <c r="B203" s="532"/>
      <c r="C203" s="532"/>
      <c r="D203" s="532"/>
      <c r="E203" s="533"/>
      <c r="F203" s="473" t="s">
        <v>148</v>
      </c>
      <c r="G203" s="534">
        <f>G202*2%</f>
        <v>17.857142857142858</v>
      </c>
      <c r="H203" s="393"/>
      <c r="I203" s="348"/>
      <c r="J203" s="334"/>
      <c r="K203" s="342"/>
      <c r="M203" s="118"/>
    </row>
    <row r="204" spans="1:13">
      <c r="A204" s="513" t="s">
        <v>150</v>
      </c>
      <c r="B204" s="514"/>
      <c r="C204" s="514"/>
      <c r="D204" s="514"/>
      <c r="E204" s="514"/>
      <c r="F204" s="407" t="s">
        <v>24</v>
      </c>
      <c r="G204" s="515">
        <f>(G202-G203)*20%</f>
        <v>175</v>
      </c>
      <c r="H204" s="393"/>
      <c r="I204" s="348"/>
      <c r="J204" s="334" t="s">
        <v>247</v>
      </c>
      <c r="K204" s="342"/>
    </row>
    <row r="205" spans="1:13" ht="15.75" thickBot="1">
      <c r="A205" s="470"/>
      <c r="B205" s="471"/>
      <c r="C205" s="471"/>
      <c r="D205" s="471"/>
      <c r="E205" s="471"/>
      <c r="F205" s="357"/>
      <c r="G205" s="516"/>
      <c r="H205" s="370"/>
      <c r="I205" s="361"/>
      <c r="J205" s="334"/>
      <c r="K205" s="342"/>
    </row>
    <row r="206" spans="1:13" ht="33" customHeight="1">
      <c r="A206" s="482" t="s">
        <v>332</v>
      </c>
      <c r="B206" s="483"/>
      <c r="C206" s="483"/>
      <c r="D206" s="483"/>
      <c r="E206" s="484"/>
      <c r="F206" s="330" t="s">
        <v>14</v>
      </c>
      <c r="G206" s="523">
        <f>2300/0.784</f>
        <v>2933.6734693877552</v>
      </c>
      <c r="H206" s="466">
        <v>0.5</v>
      </c>
      <c r="I206" s="469"/>
      <c r="J206" s="334" t="s">
        <v>246</v>
      </c>
      <c r="K206" s="342"/>
    </row>
    <row r="207" spans="1:13" ht="39" customHeight="1">
      <c r="A207" s="350" t="s">
        <v>149</v>
      </c>
      <c r="B207" s="351"/>
      <c r="C207" s="351"/>
      <c r="D207" s="351"/>
      <c r="E207" s="352"/>
      <c r="F207" s="473" t="s">
        <v>148</v>
      </c>
      <c r="G207" s="534">
        <f>G206*2%</f>
        <v>58.673469387755105</v>
      </c>
      <c r="H207" s="393"/>
      <c r="I207" s="348"/>
      <c r="J207" s="334"/>
      <c r="K207" s="342"/>
    </row>
    <row r="208" spans="1:13">
      <c r="A208" s="513" t="s">
        <v>151</v>
      </c>
      <c r="B208" s="514"/>
      <c r="C208" s="514"/>
      <c r="D208" s="514"/>
      <c r="E208" s="514"/>
      <c r="F208" s="407" t="s">
        <v>24</v>
      </c>
      <c r="G208" s="515">
        <f>(G206-G207)*20%</f>
        <v>575</v>
      </c>
      <c r="H208" s="393"/>
      <c r="I208" s="348"/>
      <c r="J208" s="334" t="s">
        <v>247</v>
      </c>
      <c r="K208" s="342"/>
    </row>
    <row r="209" spans="1:12" ht="15.75" thickBot="1">
      <c r="A209" s="470"/>
      <c r="B209" s="471"/>
      <c r="C209" s="471"/>
      <c r="D209" s="471"/>
      <c r="E209" s="471"/>
      <c r="F209" s="357"/>
      <c r="G209" s="357"/>
      <c r="H209" s="370"/>
      <c r="I209" s="361"/>
      <c r="J209" s="334"/>
      <c r="K209" s="342"/>
    </row>
    <row r="210" spans="1:12" ht="30" customHeight="1">
      <c r="A210" s="522" t="s">
        <v>333</v>
      </c>
      <c r="B210" s="476"/>
      <c r="C210" s="476"/>
      <c r="D210" s="476"/>
      <c r="E210" s="476"/>
      <c r="F210" s="330" t="s">
        <v>14</v>
      </c>
      <c r="G210" s="523">
        <f>1500/0.784</f>
        <v>1913.2653061224489</v>
      </c>
      <c r="H210" s="476">
        <v>0.5</v>
      </c>
      <c r="I210" s="500"/>
      <c r="J210" s="334" t="s">
        <v>246</v>
      </c>
      <c r="K210" s="342"/>
    </row>
    <row r="211" spans="1:12" ht="38.25">
      <c r="A211" s="350" t="s">
        <v>146</v>
      </c>
      <c r="B211" s="351"/>
      <c r="C211" s="351"/>
      <c r="D211" s="351"/>
      <c r="E211" s="352"/>
      <c r="F211" s="473" t="s">
        <v>148</v>
      </c>
      <c r="G211" s="534">
        <f>G210*2%</f>
        <v>38.265306122448976</v>
      </c>
      <c r="H211" s="401"/>
      <c r="I211" s="535"/>
      <c r="J211" s="334"/>
      <c r="K211" s="342"/>
      <c r="L211" s="536"/>
    </row>
    <row r="212" spans="1:12">
      <c r="A212" s="395" t="s">
        <v>248</v>
      </c>
      <c r="B212" s="396"/>
      <c r="C212" s="396"/>
      <c r="D212" s="396"/>
      <c r="E212" s="397"/>
      <c r="F212" s="407" t="s">
        <v>24</v>
      </c>
      <c r="G212" s="407">
        <f>(G210-G211)*20%</f>
        <v>375</v>
      </c>
      <c r="H212" s="407"/>
      <c r="I212" s="489"/>
      <c r="J212" s="334" t="s">
        <v>247</v>
      </c>
      <c r="K212" s="342"/>
    </row>
    <row r="213" spans="1:12" ht="15.75" thickBot="1">
      <c r="A213" s="524"/>
      <c r="B213" s="525"/>
      <c r="C213" s="525"/>
      <c r="D213" s="525"/>
      <c r="E213" s="526"/>
      <c r="F213" s="357"/>
      <c r="G213" s="357"/>
      <c r="H213" s="357"/>
      <c r="I213" s="501"/>
      <c r="J213" s="334"/>
      <c r="K213" s="342"/>
    </row>
    <row r="214" spans="1:12">
      <c r="A214" s="342"/>
      <c r="B214" s="342"/>
      <c r="C214" s="342"/>
      <c r="D214" s="342"/>
      <c r="E214" s="342"/>
      <c r="F214" s="342"/>
      <c r="G214" s="349"/>
      <c r="H214" s="372"/>
      <c r="I214" s="342"/>
      <c r="J214" s="334"/>
      <c r="K214" s="342"/>
    </row>
    <row r="215" spans="1:12" ht="15.75" thickBot="1">
      <c r="A215" s="502" t="s">
        <v>249</v>
      </c>
      <c r="B215" s="502"/>
      <c r="C215" s="502"/>
      <c r="D215" s="502"/>
      <c r="E215" s="502"/>
      <c r="F215" s="502"/>
      <c r="G215" s="502"/>
      <c r="H215" s="502"/>
      <c r="I215" s="502"/>
      <c r="J215" s="334"/>
      <c r="K215" s="342"/>
    </row>
    <row r="216" spans="1:12" ht="25.5">
      <c r="A216" s="328" t="s">
        <v>20</v>
      </c>
      <c r="B216" s="329"/>
      <c r="C216" s="329"/>
      <c r="D216" s="329"/>
      <c r="E216" s="329"/>
      <c r="F216" s="330" t="s">
        <v>21</v>
      </c>
      <c r="G216" s="331" t="s">
        <v>22</v>
      </c>
      <c r="H216" s="331" t="s">
        <v>23</v>
      </c>
      <c r="I216" s="365" t="s">
        <v>7</v>
      </c>
      <c r="J216" s="334"/>
      <c r="K216" s="342"/>
    </row>
    <row r="217" spans="1:12" ht="39" customHeight="1">
      <c r="A217" s="350" t="s">
        <v>334</v>
      </c>
      <c r="B217" s="351"/>
      <c r="C217" s="351"/>
      <c r="D217" s="351"/>
      <c r="E217" s="352"/>
      <c r="F217" s="366" t="s">
        <v>14</v>
      </c>
      <c r="G217" s="391">
        <v>500</v>
      </c>
      <c r="H217" s="368">
        <v>0.5</v>
      </c>
      <c r="I217" s="341"/>
      <c r="J217" s="372" t="s">
        <v>253</v>
      </c>
      <c r="K217" s="342"/>
    </row>
    <row r="218" spans="1:12">
      <c r="A218" s="513" t="s">
        <v>152</v>
      </c>
      <c r="B218" s="514"/>
      <c r="C218" s="514"/>
      <c r="D218" s="514"/>
      <c r="E218" s="514"/>
      <c r="F218" s="407" t="s">
        <v>24</v>
      </c>
      <c r="G218" s="407">
        <v>0</v>
      </c>
      <c r="H218" s="393"/>
      <c r="I218" s="348"/>
      <c r="J218" s="334"/>
      <c r="K218" s="342"/>
    </row>
    <row r="219" spans="1:12" ht="15.75" thickBot="1">
      <c r="A219" s="470"/>
      <c r="B219" s="471"/>
      <c r="C219" s="471"/>
      <c r="D219" s="471"/>
      <c r="E219" s="471"/>
      <c r="F219" s="357"/>
      <c r="G219" s="357"/>
      <c r="H219" s="370"/>
      <c r="I219" s="361"/>
      <c r="J219" s="334"/>
      <c r="K219" s="342"/>
    </row>
    <row r="220" spans="1:12" ht="15.75" thickBot="1">
      <c r="A220" s="363"/>
      <c r="B220" s="363"/>
      <c r="C220" s="363"/>
      <c r="D220" s="363"/>
      <c r="E220" s="363"/>
      <c r="F220" s="362"/>
      <c r="G220" s="362"/>
      <c r="H220" s="362"/>
      <c r="I220" s="363"/>
      <c r="J220" s="334"/>
      <c r="K220" s="342"/>
    </row>
    <row r="221" spans="1:12" ht="25.5">
      <c r="A221" s="503" t="s">
        <v>20</v>
      </c>
      <c r="B221" s="504"/>
      <c r="C221" s="504"/>
      <c r="D221" s="504"/>
      <c r="E221" s="505"/>
      <c r="F221" s="330" t="s">
        <v>21</v>
      </c>
      <c r="G221" s="331" t="s">
        <v>22</v>
      </c>
      <c r="H221" s="331" t="s">
        <v>23</v>
      </c>
      <c r="I221" s="365" t="s">
        <v>7</v>
      </c>
      <c r="J221" s="334"/>
      <c r="K221" s="342"/>
    </row>
    <row r="222" spans="1:12">
      <c r="A222" s="350" t="s">
        <v>335</v>
      </c>
      <c r="B222" s="351"/>
      <c r="C222" s="351"/>
      <c r="D222" s="351"/>
      <c r="E222" s="352"/>
      <c r="F222" s="366" t="s">
        <v>14</v>
      </c>
      <c r="G222" s="391">
        <v>1500</v>
      </c>
      <c r="H222" s="368">
        <v>0.5</v>
      </c>
      <c r="I222" s="341"/>
      <c r="J222" s="334" t="s">
        <v>252</v>
      </c>
      <c r="K222" s="342"/>
    </row>
    <row r="223" spans="1:12">
      <c r="A223" s="513" t="s">
        <v>139</v>
      </c>
      <c r="B223" s="514"/>
      <c r="C223" s="514"/>
      <c r="D223" s="514"/>
      <c r="E223" s="514"/>
      <c r="F223" s="407" t="s">
        <v>24</v>
      </c>
      <c r="G223" s="407">
        <f>G222*20%</f>
        <v>300</v>
      </c>
      <c r="H223" s="393"/>
      <c r="I223" s="348"/>
      <c r="J223" s="334" t="s">
        <v>251</v>
      </c>
      <c r="K223" s="342"/>
    </row>
    <row r="224" spans="1:12" ht="15.75" thickBot="1">
      <c r="A224" s="470"/>
      <c r="B224" s="471"/>
      <c r="C224" s="471"/>
      <c r="D224" s="471"/>
      <c r="E224" s="471"/>
      <c r="F224" s="357"/>
      <c r="G224" s="357"/>
      <c r="H224" s="370"/>
      <c r="I224" s="361"/>
      <c r="J224" s="334"/>
      <c r="K224" s="342"/>
    </row>
    <row r="225" spans="1:11" ht="15" customHeight="1" thickBot="1">
      <c r="A225" s="342"/>
      <c r="B225" s="342"/>
      <c r="C225" s="342"/>
      <c r="D225" s="342"/>
      <c r="E225" s="342"/>
      <c r="F225" s="342"/>
      <c r="G225" s="349"/>
      <c r="H225" s="372"/>
      <c r="I225" s="342"/>
      <c r="J225" s="334"/>
      <c r="K225" s="342"/>
    </row>
    <row r="226" spans="1:11" ht="25.5">
      <c r="A226" s="503" t="s">
        <v>20</v>
      </c>
      <c r="B226" s="504"/>
      <c r="C226" s="504"/>
      <c r="D226" s="504"/>
      <c r="E226" s="505"/>
      <c r="F226" s="330" t="s">
        <v>21</v>
      </c>
      <c r="G226" s="331" t="s">
        <v>22</v>
      </c>
      <c r="H226" s="331" t="s">
        <v>23</v>
      </c>
      <c r="I226" s="365" t="s">
        <v>7</v>
      </c>
      <c r="J226" s="334"/>
      <c r="K226" s="342"/>
    </row>
    <row r="227" spans="1:11" ht="22.5" customHeight="1">
      <c r="A227" s="350" t="s">
        <v>336</v>
      </c>
      <c r="B227" s="351"/>
      <c r="C227" s="351"/>
      <c r="D227" s="351"/>
      <c r="E227" s="352"/>
      <c r="F227" s="366" t="s">
        <v>14</v>
      </c>
      <c r="G227" s="391">
        <v>1700</v>
      </c>
      <c r="H227" s="368">
        <v>0.5</v>
      </c>
      <c r="I227" s="341"/>
      <c r="J227" s="334" t="s">
        <v>252</v>
      </c>
      <c r="K227" s="342"/>
    </row>
    <row r="228" spans="1:11">
      <c r="A228" s="513" t="s">
        <v>153</v>
      </c>
      <c r="B228" s="514"/>
      <c r="C228" s="514"/>
      <c r="D228" s="514"/>
      <c r="E228" s="514"/>
      <c r="F228" s="407" t="s">
        <v>24</v>
      </c>
      <c r="G228" s="407">
        <f>G227*20%</f>
        <v>340</v>
      </c>
      <c r="H228" s="393"/>
      <c r="I228" s="348"/>
      <c r="J228" s="334" t="s">
        <v>251</v>
      </c>
      <c r="K228" s="342"/>
    </row>
    <row r="229" spans="1:11" ht="15.75" thickBot="1">
      <c r="A229" s="470"/>
      <c r="B229" s="471"/>
      <c r="C229" s="471"/>
      <c r="D229" s="471"/>
      <c r="E229" s="471"/>
      <c r="F229" s="357"/>
      <c r="G229" s="357"/>
      <c r="H229" s="370"/>
      <c r="I229" s="361"/>
      <c r="J229" s="334"/>
      <c r="K229" s="342"/>
    </row>
    <row r="230" spans="1:11" ht="15.75" thickBot="1">
      <c r="A230" s="342"/>
      <c r="B230" s="342"/>
      <c r="C230" s="342"/>
      <c r="D230" s="342"/>
      <c r="E230" s="342"/>
      <c r="F230" s="342"/>
      <c r="G230" s="349"/>
      <c r="H230" s="372"/>
      <c r="I230" s="342"/>
      <c r="J230" s="334"/>
      <c r="K230" s="342"/>
    </row>
    <row r="231" spans="1:11" ht="25.5">
      <c r="A231" s="503" t="s">
        <v>20</v>
      </c>
      <c r="B231" s="504"/>
      <c r="C231" s="504"/>
      <c r="D231" s="504"/>
      <c r="E231" s="505"/>
      <c r="F231" s="330" t="s">
        <v>21</v>
      </c>
      <c r="G231" s="331" t="s">
        <v>22</v>
      </c>
      <c r="H231" s="331" t="s">
        <v>23</v>
      </c>
      <c r="I231" s="365" t="s">
        <v>7</v>
      </c>
      <c r="J231" s="334"/>
      <c r="K231" s="342"/>
    </row>
    <row r="232" spans="1:11" ht="26.25" customHeight="1">
      <c r="A232" s="350" t="s">
        <v>337</v>
      </c>
      <c r="B232" s="351"/>
      <c r="C232" s="351"/>
      <c r="D232" s="351"/>
      <c r="E232" s="352"/>
      <c r="F232" s="366" t="s">
        <v>14</v>
      </c>
      <c r="G232" s="391">
        <f>1000/0.8</f>
        <v>1250</v>
      </c>
      <c r="H232" s="368">
        <v>0.5</v>
      </c>
      <c r="I232" s="341"/>
      <c r="J232" s="334" t="s">
        <v>252</v>
      </c>
      <c r="K232" s="342"/>
    </row>
    <row r="233" spans="1:11">
      <c r="A233" s="513" t="s">
        <v>154</v>
      </c>
      <c r="B233" s="514"/>
      <c r="C233" s="514"/>
      <c r="D233" s="514"/>
      <c r="E233" s="514"/>
      <c r="F233" s="407" t="s">
        <v>24</v>
      </c>
      <c r="G233" s="407">
        <f>G232*20%</f>
        <v>250</v>
      </c>
      <c r="H233" s="393"/>
      <c r="I233" s="348"/>
      <c r="J233" s="334" t="s">
        <v>251</v>
      </c>
      <c r="K233" s="342"/>
    </row>
    <row r="234" spans="1:11" ht="15.75" thickBot="1">
      <c r="A234" s="470"/>
      <c r="B234" s="471"/>
      <c r="C234" s="471"/>
      <c r="D234" s="471"/>
      <c r="E234" s="471"/>
      <c r="F234" s="357"/>
      <c r="G234" s="357"/>
      <c r="H234" s="370"/>
      <c r="I234" s="361"/>
      <c r="J234" s="334"/>
      <c r="K234" s="342"/>
    </row>
    <row r="235" spans="1:11">
      <c r="A235" s="342"/>
      <c r="B235" s="342"/>
      <c r="C235" s="342"/>
      <c r="D235" s="342"/>
      <c r="E235" s="342"/>
      <c r="F235" s="342"/>
      <c r="G235" s="349"/>
      <c r="H235" s="372"/>
      <c r="I235" s="342"/>
      <c r="J235" s="334"/>
      <c r="K235" s="342"/>
    </row>
    <row r="236" spans="1:11" ht="15.75" thickBot="1">
      <c r="A236" s="502" t="s">
        <v>156</v>
      </c>
      <c r="B236" s="502"/>
      <c r="C236" s="502"/>
      <c r="D236" s="502"/>
      <c r="E236" s="502"/>
      <c r="F236" s="502"/>
      <c r="G236" s="502"/>
      <c r="H236" s="502"/>
      <c r="I236" s="502"/>
      <c r="J236" s="334"/>
      <c r="K236" s="342"/>
    </row>
    <row r="237" spans="1:11" ht="25.5">
      <c r="A237" s="328" t="s">
        <v>20</v>
      </c>
      <c r="B237" s="329"/>
      <c r="C237" s="329"/>
      <c r="D237" s="329"/>
      <c r="E237" s="329"/>
      <c r="F237" s="330" t="s">
        <v>21</v>
      </c>
      <c r="G237" s="331" t="s">
        <v>22</v>
      </c>
      <c r="H237" s="331" t="s">
        <v>23</v>
      </c>
      <c r="I237" s="365" t="s">
        <v>7</v>
      </c>
      <c r="J237" s="334"/>
      <c r="K237" s="342"/>
    </row>
    <row r="238" spans="1:11" ht="38.25">
      <c r="A238" s="537" t="s">
        <v>155</v>
      </c>
      <c r="B238" s="351"/>
      <c r="C238" s="351"/>
      <c r="D238" s="351"/>
      <c r="E238" s="352"/>
      <c r="F238" s="366" t="s">
        <v>14</v>
      </c>
      <c r="G238" s="391">
        <v>950</v>
      </c>
      <c r="H238" s="368">
        <v>0.5</v>
      </c>
      <c r="I238" s="341"/>
      <c r="J238" s="372" t="s">
        <v>253</v>
      </c>
      <c r="K238" s="342"/>
    </row>
    <row r="239" spans="1:11">
      <c r="A239" s="513" t="s">
        <v>140</v>
      </c>
      <c r="B239" s="514"/>
      <c r="C239" s="514"/>
      <c r="D239" s="514"/>
      <c r="E239" s="514"/>
      <c r="F239" s="407" t="s">
        <v>24</v>
      </c>
      <c r="G239" s="407">
        <v>0</v>
      </c>
      <c r="H239" s="393"/>
      <c r="I239" s="348"/>
      <c r="J239" s="334"/>
      <c r="K239" s="342"/>
    </row>
    <row r="240" spans="1:11" ht="18" customHeight="1" thickBot="1">
      <c r="A240" s="470"/>
      <c r="B240" s="471"/>
      <c r="C240" s="471"/>
      <c r="D240" s="471"/>
      <c r="E240" s="471"/>
      <c r="F240" s="357"/>
      <c r="G240" s="357"/>
      <c r="H240" s="370"/>
      <c r="I240" s="361"/>
      <c r="J240" s="334"/>
      <c r="K240" s="342"/>
    </row>
    <row r="241" spans="1:11" ht="15.75" thickBot="1">
      <c r="A241" s="363"/>
      <c r="B241" s="363"/>
      <c r="C241" s="363"/>
      <c r="D241" s="363"/>
      <c r="E241" s="363"/>
      <c r="F241" s="362"/>
      <c r="G241" s="362"/>
      <c r="H241" s="362"/>
      <c r="I241" s="363"/>
      <c r="J241" s="334"/>
      <c r="K241" s="342"/>
    </row>
    <row r="242" spans="1:11" ht="25.5">
      <c r="A242" s="503" t="s">
        <v>20</v>
      </c>
      <c r="B242" s="504"/>
      <c r="C242" s="504"/>
      <c r="D242" s="504"/>
      <c r="E242" s="505"/>
      <c r="F242" s="330" t="s">
        <v>21</v>
      </c>
      <c r="G242" s="331" t="s">
        <v>22</v>
      </c>
      <c r="H242" s="331" t="s">
        <v>23</v>
      </c>
      <c r="I242" s="365" t="s">
        <v>7</v>
      </c>
      <c r="J242" s="334"/>
      <c r="K242" s="342"/>
    </row>
    <row r="243" spans="1:11">
      <c r="A243" s="350" t="s">
        <v>338</v>
      </c>
      <c r="B243" s="351"/>
      <c r="C243" s="351"/>
      <c r="D243" s="351"/>
      <c r="E243" s="352"/>
      <c r="F243" s="366" t="s">
        <v>14</v>
      </c>
      <c r="G243" s="391">
        <f>(700+1100)/0.8</f>
        <v>2250</v>
      </c>
      <c r="H243" s="368">
        <v>0.5</v>
      </c>
      <c r="I243" s="341"/>
      <c r="J243" s="334" t="s">
        <v>252</v>
      </c>
      <c r="K243" s="342"/>
    </row>
    <row r="244" spans="1:11">
      <c r="A244" s="513" t="s">
        <v>157</v>
      </c>
      <c r="B244" s="514"/>
      <c r="C244" s="514"/>
      <c r="D244" s="514"/>
      <c r="E244" s="514"/>
      <c r="F244" s="407" t="s">
        <v>24</v>
      </c>
      <c r="G244" s="407">
        <f>G243*20%</f>
        <v>450</v>
      </c>
      <c r="H244" s="393"/>
      <c r="I244" s="348"/>
      <c r="J244" s="334" t="s">
        <v>251</v>
      </c>
      <c r="K244" s="342"/>
    </row>
    <row r="245" spans="1:11" ht="11.25" customHeight="1" thickBot="1">
      <c r="A245" s="470"/>
      <c r="B245" s="471"/>
      <c r="C245" s="471"/>
      <c r="D245" s="471"/>
      <c r="E245" s="471"/>
      <c r="F245" s="357"/>
      <c r="G245" s="357"/>
      <c r="H245" s="370"/>
      <c r="I245" s="361"/>
      <c r="J245" s="334"/>
      <c r="K245" s="342"/>
    </row>
    <row r="246" spans="1:11" ht="12" customHeight="1">
      <c r="A246" s="342"/>
      <c r="B246" s="342"/>
      <c r="C246" s="342"/>
      <c r="D246" s="342"/>
      <c r="E246" s="342"/>
      <c r="F246" s="342"/>
      <c r="G246" s="349"/>
      <c r="H246" s="372"/>
      <c r="I246" s="342"/>
      <c r="J246" s="334"/>
      <c r="K246" s="342"/>
    </row>
    <row r="247" spans="1:11" ht="15.75" thickBot="1">
      <c r="A247" s="538" t="s">
        <v>158</v>
      </c>
      <c r="B247" s="538"/>
      <c r="C247" s="538"/>
      <c r="D247" s="538"/>
      <c r="E247" s="538"/>
      <c r="F247" s="538"/>
      <c r="G247" s="538"/>
      <c r="H247" s="538"/>
      <c r="I247" s="538"/>
      <c r="J247" s="334"/>
      <c r="K247" s="342"/>
    </row>
    <row r="248" spans="1:11" ht="25.5">
      <c r="A248" s="503" t="s">
        <v>20</v>
      </c>
      <c r="B248" s="504"/>
      <c r="C248" s="504"/>
      <c r="D248" s="504"/>
      <c r="E248" s="505"/>
      <c r="F248" s="330" t="s">
        <v>21</v>
      </c>
      <c r="G248" s="331" t="s">
        <v>22</v>
      </c>
      <c r="H248" s="331" t="s">
        <v>23</v>
      </c>
      <c r="I248" s="365" t="s">
        <v>7</v>
      </c>
      <c r="J248" s="334"/>
      <c r="K248" s="342"/>
    </row>
    <row r="249" spans="1:11">
      <c r="A249" s="537" t="s">
        <v>339</v>
      </c>
      <c r="B249" s="351"/>
      <c r="C249" s="351"/>
      <c r="D249" s="351"/>
      <c r="E249" s="352"/>
      <c r="F249" s="366" t="s">
        <v>14</v>
      </c>
      <c r="G249" s="391">
        <v>0</v>
      </c>
      <c r="H249" s="368">
        <v>0.5</v>
      </c>
      <c r="I249" s="341"/>
      <c r="J249" s="334" t="s">
        <v>186</v>
      </c>
      <c r="K249" s="342"/>
    </row>
    <row r="250" spans="1:11">
      <c r="A250" s="513">
        <v>0</v>
      </c>
      <c r="B250" s="514"/>
      <c r="C250" s="514"/>
      <c r="D250" s="514"/>
      <c r="E250" s="514"/>
      <c r="F250" s="407" t="s">
        <v>24</v>
      </c>
      <c r="G250" s="407">
        <f>G249*20%</f>
        <v>0</v>
      </c>
      <c r="H250" s="393"/>
      <c r="I250" s="348"/>
      <c r="J250" s="334"/>
      <c r="K250" s="342"/>
    </row>
    <row r="251" spans="1:11" ht="15.75" thickBot="1">
      <c r="A251" s="470"/>
      <c r="B251" s="471"/>
      <c r="C251" s="471"/>
      <c r="D251" s="471"/>
      <c r="E251" s="471"/>
      <c r="F251" s="357"/>
      <c r="G251" s="357"/>
      <c r="H251" s="370"/>
      <c r="I251" s="361"/>
      <c r="J251" s="334"/>
      <c r="K251" s="342"/>
    </row>
    <row r="252" spans="1:11">
      <c r="A252" s="342"/>
      <c r="B252" s="342"/>
      <c r="C252" s="342"/>
      <c r="D252" s="342"/>
      <c r="E252" s="342"/>
      <c r="F252" s="342"/>
      <c r="G252" s="349"/>
      <c r="H252" s="372"/>
      <c r="I252" s="342"/>
      <c r="J252" s="334"/>
      <c r="K252" s="342"/>
    </row>
  </sheetData>
  <mergeCells count="344">
    <mergeCell ref="A80:I80"/>
    <mergeCell ref="A47:E47"/>
    <mergeCell ref="H47:H49"/>
    <mergeCell ref="I47:I49"/>
    <mergeCell ref="A48:E48"/>
    <mergeCell ref="A49:E49"/>
    <mergeCell ref="A42:E42"/>
    <mergeCell ref="A43:E43"/>
    <mergeCell ref="H39:H43"/>
    <mergeCell ref="I39:I43"/>
    <mergeCell ref="A62:E62"/>
    <mergeCell ref="H62:H63"/>
    <mergeCell ref="I62:I63"/>
    <mergeCell ref="A63:E63"/>
    <mergeCell ref="A57:E57"/>
    <mergeCell ref="A55:E55"/>
    <mergeCell ref="A50:E50"/>
    <mergeCell ref="H50:H52"/>
    <mergeCell ref="I50:I52"/>
    <mergeCell ref="A51:E51"/>
    <mergeCell ref="A52:E52"/>
    <mergeCell ref="A72:E72"/>
    <mergeCell ref="A40:E40"/>
    <mergeCell ref="A41:E41"/>
    <mergeCell ref="A46:E46"/>
    <mergeCell ref="A25:E25"/>
    <mergeCell ref="A27:E27"/>
    <mergeCell ref="A1:I1"/>
    <mergeCell ref="B2:I2"/>
    <mergeCell ref="A4:I4"/>
    <mergeCell ref="A6:I6"/>
    <mergeCell ref="A11:E11"/>
    <mergeCell ref="A8:E8"/>
    <mergeCell ref="A29:E29"/>
    <mergeCell ref="H26:H29"/>
    <mergeCell ref="A12:E12"/>
    <mergeCell ref="A17:E17"/>
    <mergeCell ref="A22:E22"/>
    <mergeCell ref="A31:I31"/>
    <mergeCell ref="A32:E32"/>
    <mergeCell ref="A33:E33"/>
    <mergeCell ref="H33:H35"/>
    <mergeCell ref="A34:E34"/>
    <mergeCell ref="A21:E21"/>
    <mergeCell ref="A24:I24"/>
    <mergeCell ref="A28:E28"/>
    <mergeCell ref="A37:I37"/>
    <mergeCell ref="A38:E38"/>
    <mergeCell ref="A39:E39"/>
    <mergeCell ref="I34:I35"/>
    <mergeCell ref="A35:E35"/>
    <mergeCell ref="A45:I45"/>
    <mergeCell ref="A129:I129"/>
    <mergeCell ref="A130:E130"/>
    <mergeCell ref="H124:H125"/>
    <mergeCell ref="I124:I125"/>
    <mergeCell ref="A126:E126"/>
    <mergeCell ref="A127:E127"/>
    <mergeCell ref="A81:E81"/>
    <mergeCell ref="A82:E82"/>
    <mergeCell ref="H82:H83"/>
    <mergeCell ref="I82:I83"/>
    <mergeCell ref="A83:E83"/>
    <mergeCell ref="A95:E95"/>
    <mergeCell ref="A96:E96"/>
    <mergeCell ref="A97:E97"/>
    <mergeCell ref="A89:I89"/>
    <mergeCell ref="A90:E90"/>
    <mergeCell ref="A91:E91"/>
    <mergeCell ref="H103:H104"/>
    <mergeCell ref="H101:H102"/>
    <mergeCell ref="A100:E100"/>
    <mergeCell ref="A101:E101"/>
    <mergeCell ref="A102:E102"/>
    <mergeCell ref="A103:E103"/>
    <mergeCell ref="A104:E104"/>
    <mergeCell ref="A121:E121"/>
    <mergeCell ref="A122:E122"/>
    <mergeCell ref="H122:H123"/>
    <mergeCell ref="A93:E93"/>
    <mergeCell ref="A94:E94"/>
    <mergeCell ref="A108:E108"/>
    <mergeCell ref="I116:I117"/>
    <mergeCell ref="A117:E117"/>
    <mergeCell ref="A118:E118"/>
    <mergeCell ref="H118:H119"/>
    <mergeCell ref="I118:I119"/>
    <mergeCell ref="A119:E119"/>
    <mergeCell ref="A120:E120"/>
    <mergeCell ref="H120:H121"/>
    <mergeCell ref="I120:I121"/>
    <mergeCell ref="A124:E124"/>
    <mergeCell ref="A125:E125"/>
    <mergeCell ref="H126:H127"/>
    <mergeCell ref="H166:H168"/>
    <mergeCell ref="A164:I164"/>
    <mergeCell ref="A165:E165"/>
    <mergeCell ref="A166:E166"/>
    <mergeCell ref="A167:E168"/>
    <mergeCell ref="F167:F168"/>
    <mergeCell ref="G167:G168"/>
    <mergeCell ref="I166:I168"/>
    <mergeCell ref="I126:I127"/>
    <mergeCell ref="A133:E133"/>
    <mergeCell ref="H133:H134"/>
    <mergeCell ref="I133:I134"/>
    <mergeCell ref="A134:E134"/>
    <mergeCell ref="H156:H157"/>
    <mergeCell ref="I156:I157"/>
    <mergeCell ref="I122:I123"/>
    <mergeCell ref="A78:E78"/>
    <mergeCell ref="A69:I69"/>
    <mergeCell ref="A70:E70"/>
    <mergeCell ref="A71:E71"/>
    <mergeCell ref="H71:H73"/>
    <mergeCell ref="I71:I73"/>
    <mergeCell ref="A73:E73"/>
    <mergeCell ref="I101:I102"/>
    <mergeCell ref="I103:I104"/>
    <mergeCell ref="H105:H106"/>
    <mergeCell ref="H107:H108"/>
    <mergeCell ref="A105:E105"/>
    <mergeCell ref="A106:E106"/>
    <mergeCell ref="A107:E107"/>
    <mergeCell ref="A113:E113"/>
    <mergeCell ref="A114:E114"/>
    <mergeCell ref="H114:H115"/>
    <mergeCell ref="I114:I115"/>
    <mergeCell ref="A115:E115"/>
    <mergeCell ref="A116:E116"/>
    <mergeCell ref="H116:H117"/>
    <mergeCell ref="A112:I112"/>
    <mergeCell ref="A123:E123"/>
    <mergeCell ref="A65:I65"/>
    <mergeCell ref="A66:E66"/>
    <mergeCell ref="A67:E67"/>
    <mergeCell ref="A54:I54"/>
    <mergeCell ref="A60:I60"/>
    <mergeCell ref="A61:E61"/>
    <mergeCell ref="A131:E131"/>
    <mergeCell ref="H131:H132"/>
    <mergeCell ref="I131:I132"/>
    <mergeCell ref="A132:E132"/>
    <mergeCell ref="A56:E56"/>
    <mergeCell ref="H56:H58"/>
    <mergeCell ref="I56:I58"/>
    <mergeCell ref="A58:E58"/>
    <mergeCell ref="A99:I99"/>
    <mergeCell ref="A109:E109"/>
    <mergeCell ref="A110:E110"/>
    <mergeCell ref="H109:H110"/>
    <mergeCell ref="I109:I110"/>
    <mergeCell ref="A75:I75"/>
    <mergeCell ref="A76:E76"/>
    <mergeCell ref="A77:E77"/>
    <mergeCell ref="I107:I108"/>
    <mergeCell ref="I105:I106"/>
    <mergeCell ref="A157:E157"/>
    <mergeCell ref="A135:E135"/>
    <mergeCell ref="H135:H136"/>
    <mergeCell ref="I135:I136"/>
    <mergeCell ref="A136:E136"/>
    <mergeCell ref="A137:E137"/>
    <mergeCell ref="H137:H138"/>
    <mergeCell ref="I137:I138"/>
    <mergeCell ref="A138:E138"/>
    <mergeCell ref="A139:E139"/>
    <mergeCell ref="H139:H140"/>
    <mergeCell ref="I139:I140"/>
    <mergeCell ref="A140:E140"/>
    <mergeCell ref="A154:I154"/>
    <mergeCell ref="A146:E146"/>
    <mergeCell ref="A147:E147"/>
    <mergeCell ref="H146:H147"/>
    <mergeCell ref="I146:I147"/>
    <mergeCell ref="A144:I144"/>
    <mergeCell ref="A145:E145"/>
    <mergeCell ref="A181:E181"/>
    <mergeCell ref="H181:H183"/>
    <mergeCell ref="I181:I183"/>
    <mergeCell ref="A182:E183"/>
    <mergeCell ref="F182:F183"/>
    <mergeCell ref="G182:G183"/>
    <mergeCell ref="A141:E141"/>
    <mergeCell ref="H141:H142"/>
    <mergeCell ref="I141:I142"/>
    <mergeCell ref="A142:E142"/>
    <mergeCell ref="A159:I159"/>
    <mergeCell ref="A160:E160"/>
    <mergeCell ref="A161:E161"/>
    <mergeCell ref="H161:H162"/>
    <mergeCell ref="I161:I162"/>
    <mergeCell ref="A162:E162"/>
    <mergeCell ref="A149:I149"/>
    <mergeCell ref="A150:E150"/>
    <mergeCell ref="A151:E151"/>
    <mergeCell ref="H151:H152"/>
    <mergeCell ref="I151:I152"/>
    <mergeCell ref="A152:E152"/>
    <mergeCell ref="A155:E155"/>
    <mergeCell ref="A156:E156"/>
    <mergeCell ref="A177:E177"/>
    <mergeCell ref="A178:E178"/>
    <mergeCell ref="H178:H180"/>
    <mergeCell ref="I178:I180"/>
    <mergeCell ref="A179:E180"/>
    <mergeCell ref="F179:F180"/>
    <mergeCell ref="G179:G180"/>
    <mergeCell ref="A170:I170"/>
    <mergeCell ref="A171:E171"/>
    <mergeCell ref="A172:E172"/>
    <mergeCell ref="H172:H174"/>
    <mergeCell ref="I172:I174"/>
    <mergeCell ref="A173:E174"/>
    <mergeCell ref="F173:F174"/>
    <mergeCell ref="G173:G174"/>
    <mergeCell ref="A201:E201"/>
    <mergeCell ref="A202:E202"/>
    <mergeCell ref="H202:H205"/>
    <mergeCell ref="I202:I205"/>
    <mergeCell ref="A204:E205"/>
    <mergeCell ref="F204:F205"/>
    <mergeCell ref="G204:G205"/>
    <mergeCell ref="A190:E190"/>
    <mergeCell ref="H190:H192"/>
    <mergeCell ref="A191:E192"/>
    <mergeCell ref="F191:F192"/>
    <mergeCell ref="G191:G192"/>
    <mergeCell ref="I190:I192"/>
    <mergeCell ref="A193:E193"/>
    <mergeCell ref="H193:H195"/>
    <mergeCell ref="I193:I195"/>
    <mergeCell ref="A194:E195"/>
    <mergeCell ref="F194:F195"/>
    <mergeCell ref="G194:G195"/>
    <mergeCell ref="A196:E196"/>
    <mergeCell ref="G197:G198"/>
    <mergeCell ref="F197:F198"/>
    <mergeCell ref="I196:I198"/>
    <mergeCell ref="H196:H198"/>
    <mergeCell ref="A197:E198"/>
    <mergeCell ref="A184:E184"/>
    <mergeCell ref="H184:H186"/>
    <mergeCell ref="I184:I186"/>
    <mergeCell ref="A185:E186"/>
    <mergeCell ref="F185:F186"/>
    <mergeCell ref="G185:G186"/>
    <mergeCell ref="A187:E187"/>
    <mergeCell ref="H187:H189"/>
    <mergeCell ref="I187:I189"/>
    <mergeCell ref="A188:E189"/>
    <mergeCell ref="F188:F189"/>
    <mergeCell ref="G188:G189"/>
    <mergeCell ref="A210:E210"/>
    <mergeCell ref="H210:H213"/>
    <mergeCell ref="I210:I213"/>
    <mergeCell ref="A211:E211"/>
    <mergeCell ref="A212:E213"/>
    <mergeCell ref="F212:F213"/>
    <mergeCell ref="G212:G213"/>
    <mergeCell ref="A203:E203"/>
    <mergeCell ref="A207:E207"/>
    <mergeCell ref="A206:E206"/>
    <mergeCell ref="H206:H209"/>
    <mergeCell ref="I206:I209"/>
    <mergeCell ref="A208:E209"/>
    <mergeCell ref="F208:F209"/>
    <mergeCell ref="G208:G209"/>
    <mergeCell ref="A215:I215"/>
    <mergeCell ref="A216:E216"/>
    <mergeCell ref="A217:E217"/>
    <mergeCell ref="H217:H219"/>
    <mergeCell ref="I217:I219"/>
    <mergeCell ref="A218:E219"/>
    <mergeCell ref="F218:F219"/>
    <mergeCell ref="G218:G219"/>
    <mergeCell ref="A226:E226"/>
    <mergeCell ref="A221:E221"/>
    <mergeCell ref="A222:E222"/>
    <mergeCell ref="H222:H224"/>
    <mergeCell ref="I222:I224"/>
    <mergeCell ref="A223:E224"/>
    <mergeCell ref="F223:F224"/>
    <mergeCell ref="G223:G224"/>
    <mergeCell ref="A227:E227"/>
    <mergeCell ref="H227:H229"/>
    <mergeCell ref="I227:I229"/>
    <mergeCell ref="A228:E229"/>
    <mergeCell ref="F228:F229"/>
    <mergeCell ref="G228:G229"/>
    <mergeCell ref="A249:E249"/>
    <mergeCell ref="H249:H251"/>
    <mergeCell ref="I249:I251"/>
    <mergeCell ref="A250:E251"/>
    <mergeCell ref="F250:F251"/>
    <mergeCell ref="G250:G251"/>
    <mergeCell ref="A238:E238"/>
    <mergeCell ref="H238:H240"/>
    <mergeCell ref="I238:I240"/>
    <mergeCell ref="A239:E240"/>
    <mergeCell ref="F239:F240"/>
    <mergeCell ref="G239:G240"/>
    <mergeCell ref="A242:E242"/>
    <mergeCell ref="A243:E243"/>
    <mergeCell ref="H243:H245"/>
    <mergeCell ref="I243:I245"/>
    <mergeCell ref="A244:E245"/>
    <mergeCell ref="F244:F245"/>
    <mergeCell ref="A247:I247"/>
    <mergeCell ref="A248:E248"/>
    <mergeCell ref="A231:E231"/>
    <mergeCell ref="A232:E232"/>
    <mergeCell ref="H232:H234"/>
    <mergeCell ref="I232:I234"/>
    <mergeCell ref="A233:E234"/>
    <mergeCell ref="F233:F234"/>
    <mergeCell ref="G233:G234"/>
    <mergeCell ref="A236:I236"/>
    <mergeCell ref="A237:E237"/>
    <mergeCell ref="G244:G245"/>
    <mergeCell ref="K26:M26"/>
    <mergeCell ref="K33:M33"/>
    <mergeCell ref="K34:M34"/>
    <mergeCell ref="K8:M8"/>
    <mergeCell ref="K35:M35"/>
    <mergeCell ref="K42:M42"/>
    <mergeCell ref="I9:I12"/>
    <mergeCell ref="H21:H22"/>
    <mergeCell ref="H95:H96"/>
    <mergeCell ref="H16:H17"/>
    <mergeCell ref="H77:H78"/>
    <mergeCell ref="I77:I78"/>
    <mergeCell ref="A85:I85"/>
    <mergeCell ref="A86:E86"/>
    <mergeCell ref="A87:E87"/>
    <mergeCell ref="A9:E9"/>
    <mergeCell ref="A26:E26"/>
    <mergeCell ref="A10:E10"/>
    <mergeCell ref="F9:F11"/>
    <mergeCell ref="A14:I14"/>
    <mergeCell ref="A15:E15"/>
    <mergeCell ref="A16:E16"/>
    <mergeCell ref="A19:I19"/>
    <mergeCell ref="A20:E20"/>
  </mergeCells>
  <printOptions horizontalCentered="1"/>
  <pageMargins left="0.19685039370078741" right="0.19685039370078741" top="3.937007874015748E-2" bottom="0.2362204724409449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orksheet____1"/>
  <dimension ref="A1:J71"/>
  <sheetViews>
    <sheetView workbookViewId="0">
      <selection activeCell="F7" sqref="F7"/>
    </sheetView>
  </sheetViews>
  <sheetFormatPr defaultRowHeight="15"/>
  <cols>
    <col min="1" max="1" width="11.140625" customWidth="1"/>
    <col min="3" max="3" width="8.85546875" style="11"/>
    <col min="4" max="4" width="38.5703125" customWidth="1"/>
    <col min="5" max="5" width="5.28515625" style="60" customWidth="1"/>
    <col min="6" max="7" width="11.28515625" style="128" customWidth="1"/>
    <col min="8" max="10" width="23.85546875" style="120" customWidth="1"/>
  </cols>
  <sheetData>
    <row r="1" spans="1:10" ht="18">
      <c r="A1" s="9" t="s">
        <v>30</v>
      </c>
    </row>
    <row r="2" spans="1:10">
      <c r="A2" s="10" t="s">
        <v>31</v>
      </c>
    </row>
    <row r="3" spans="1:10" ht="15.75" thickBot="1">
      <c r="A3" s="270" t="s">
        <v>32</v>
      </c>
      <c r="B3" s="270"/>
      <c r="C3" s="270"/>
      <c r="D3" s="270"/>
    </row>
    <row r="4" spans="1:10" ht="16.149999999999999" customHeight="1">
      <c r="A4" s="284" t="s">
        <v>31</v>
      </c>
      <c r="B4" s="285"/>
      <c r="C4" s="285"/>
      <c r="D4" s="285"/>
      <c r="E4" s="286"/>
      <c r="F4" s="129" t="s">
        <v>33</v>
      </c>
      <c r="G4" s="290" t="s">
        <v>207</v>
      </c>
    </row>
    <row r="5" spans="1:10" ht="23.25" customHeight="1" thickBot="1">
      <c r="A5" s="287"/>
      <c r="B5" s="288"/>
      <c r="C5" s="288"/>
      <c r="D5" s="288"/>
      <c r="E5" s="289"/>
      <c r="F5" s="130" t="s">
        <v>206</v>
      </c>
      <c r="G5" s="291"/>
    </row>
    <row r="6" spans="1:10" s="60" customFormat="1" ht="23.25" customHeight="1" thickBot="1">
      <c r="A6" s="275">
        <v>1</v>
      </c>
      <c r="B6" s="276"/>
      <c r="C6" s="276"/>
      <c r="D6" s="277"/>
      <c r="E6" s="61">
        <v>2</v>
      </c>
      <c r="F6" s="159">
        <v>3</v>
      </c>
      <c r="G6" s="160">
        <v>4</v>
      </c>
      <c r="H6" s="121"/>
      <c r="I6" s="121"/>
      <c r="J6" s="121"/>
    </row>
    <row r="7" spans="1:10" ht="45.75" customHeight="1" thickBot="1">
      <c r="A7" s="298" t="s">
        <v>208</v>
      </c>
      <c r="B7" s="299"/>
      <c r="C7" s="299"/>
      <c r="D7" s="300"/>
      <c r="E7" s="68">
        <v>16</v>
      </c>
      <c r="F7" s="182">
        <f>'ხელფასის უწყისი'!E15</f>
        <v>35667.626712328769</v>
      </c>
      <c r="G7" s="146"/>
      <c r="H7" s="120" t="s">
        <v>172</v>
      </c>
    </row>
    <row r="8" spans="1:10" ht="43.5" customHeight="1" thickBot="1">
      <c r="A8" s="258" t="s">
        <v>209</v>
      </c>
      <c r="B8" s="259"/>
      <c r="C8" s="259"/>
      <c r="D8" s="260"/>
      <c r="E8" s="68">
        <v>17</v>
      </c>
      <c r="F8" s="50">
        <f>'ხელფასის უწყისი'!H15</f>
        <v>27509.883333333331</v>
      </c>
      <c r="G8" s="119">
        <f>'ხელფასის უწყისი'!I15</f>
        <v>5501.9766666666665</v>
      </c>
      <c r="H8" s="120" t="s">
        <v>173</v>
      </c>
    </row>
    <row r="9" spans="1:10" ht="19.149999999999999" customHeight="1" thickBot="1">
      <c r="A9" s="301" t="s">
        <v>210</v>
      </c>
      <c r="B9" s="302"/>
      <c r="C9" s="302"/>
      <c r="D9" s="303"/>
      <c r="E9" s="69">
        <v>18</v>
      </c>
      <c r="F9" s="131">
        <f>'სამუშაო რვეული'!G133</f>
        <v>1000</v>
      </c>
      <c r="G9" s="147">
        <f>'სამუშაო რვეული'!G134</f>
        <v>200</v>
      </c>
      <c r="H9" s="120" t="s">
        <v>192</v>
      </c>
    </row>
    <row r="10" spans="1:10" ht="27" customHeight="1" thickBot="1">
      <c r="A10" s="292" t="s">
        <v>35</v>
      </c>
      <c r="B10" s="293"/>
      <c r="C10" s="294"/>
      <c r="D10" s="65" t="s">
        <v>211</v>
      </c>
      <c r="E10" s="70">
        <v>19</v>
      </c>
      <c r="F10" s="132">
        <f>'სამუშაო რვეული'!G181+'სამუშაო რვეული'!G187+'სამუშაო რვეული'!G193+'სამუშაო რვეული'!G196+'სამუშაო რვეული'!G202-'სამუშაო რვეული'!G203+'სამუშაო რვეული'!G206-'სამუშაო რვეული'!G207+'სამუშაო რვეული'!G210-'სამუშაო რვეული'!G211</f>
        <v>12000</v>
      </c>
      <c r="G10" s="148">
        <f>'სამუშაო რვეული'!G182+'სამუშაო რვეული'!G188+'სამუშაო რვეული'!G194+'სამუშაო რვეული'!G197+'სამუშაო რვეული'!G204+'სამუშაო რვეული'!G208+'სამუშაო რვეული'!G212</f>
        <v>2400</v>
      </c>
      <c r="H10" s="120" t="s">
        <v>243</v>
      </c>
    </row>
    <row r="11" spans="1:10" ht="41.45" customHeight="1" thickBot="1">
      <c r="A11" s="295"/>
      <c r="B11" s="296"/>
      <c r="C11" s="297"/>
      <c r="D11" s="66" t="s">
        <v>212</v>
      </c>
      <c r="E11" s="68">
        <v>20</v>
      </c>
      <c r="F11" s="50">
        <f>'სამუშაო რვეული'!G178</f>
        <v>1000</v>
      </c>
      <c r="G11" s="119">
        <f>'სამუშაო რვეული'!G179</f>
        <v>50</v>
      </c>
      <c r="H11" s="120" t="s">
        <v>243</v>
      </c>
    </row>
    <row r="12" spans="1:10" ht="51" customHeight="1" thickBot="1">
      <c r="A12" s="278" t="s">
        <v>233</v>
      </c>
      <c r="B12" s="279"/>
      <c r="C12" s="279"/>
      <c r="D12" s="280"/>
      <c r="E12" s="71">
        <v>21</v>
      </c>
      <c r="F12" s="133">
        <f>'სამუშაო რვეული'!G222+'სამუშაო რვეული'!G227+'სამუშაო რვეული'!G232+'სამუშაო რვეული'!G243</f>
        <v>6700</v>
      </c>
      <c r="G12" s="149">
        <f>'სამუშაო რვეული'!G223+'სამუშაო რვეული'!G228+'სამუშაო რვეული'!G233+'სამუშაო რვეული'!G244</f>
        <v>1340</v>
      </c>
      <c r="H12" s="120" t="s">
        <v>250</v>
      </c>
    </row>
    <row r="13" spans="1:10" ht="24" customHeight="1" thickBot="1">
      <c r="A13" s="258" t="s">
        <v>213</v>
      </c>
      <c r="B13" s="259"/>
      <c r="C13" s="259"/>
      <c r="D13" s="260"/>
      <c r="E13" s="72">
        <v>22</v>
      </c>
      <c r="F13" s="134">
        <f>'სამუშაო რვეული'!G101+'სამუშაო რვეული'!G103</f>
        <v>20000</v>
      </c>
      <c r="G13" s="150"/>
      <c r="H13" s="120" t="s">
        <v>174</v>
      </c>
    </row>
    <row r="14" spans="1:10" ht="31.15" customHeight="1" thickBot="1">
      <c r="A14" s="281" t="s">
        <v>209</v>
      </c>
      <c r="B14" s="282"/>
      <c r="C14" s="282"/>
      <c r="D14" s="283"/>
      <c r="E14" s="64">
        <v>23</v>
      </c>
      <c r="F14" s="134">
        <f>'სამუშაო რვეული'!G101+'სამუშაო რვეული'!G103</f>
        <v>20000</v>
      </c>
      <c r="G14" s="148">
        <f>'სამუშაო რვეული'!G102+'სამუშაო რვეული'!G104</f>
        <v>1000</v>
      </c>
      <c r="H14" s="120" t="s">
        <v>174</v>
      </c>
    </row>
    <row r="15" spans="1:10" ht="16.899999999999999" customHeight="1" thickBot="1">
      <c r="A15" s="258" t="s">
        <v>214</v>
      </c>
      <c r="B15" s="259"/>
      <c r="C15" s="259"/>
      <c r="D15" s="260"/>
      <c r="E15" s="64">
        <v>24</v>
      </c>
      <c r="F15" s="50">
        <f>'სამუშაო რვეული'!G122+'სამუშაო რვეული'!G126</f>
        <v>25600</v>
      </c>
      <c r="G15" s="146"/>
      <c r="H15" s="120" t="s">
        <v>175</v>
      </c>
    </row>
    <row r="16" spans="1:10" ht="31.15" customHeight="1" thickBot="1">
      <c r="A16" s="261" t="s">
        <v>209</v>
      </c>
      <c r="B16" s="262"/>
      <c r="C16" s="262"/>
      <c r="D16" s="263"/>
      <c r="E16" s="64">
        <v>25</v>
      </c>
      <c r="F16" s="50">
        <f>'სამუშაო რვეული'!G126</f>
        <v>600</v>
      </c>
      <c r="G16" s="119">
        <f>'სამუშაო რვეული'!G127</f>
        <v>30</v>
      </c>
      <c r="H16" s="120" t="str">
        <f>H15</f>
        <v>სამუშაო რვეული 2.2</v>
      </c>
    </row>
    <row r="17" spans="1:10" ht="40.15" customHeight="1" thickBot="1">
      <c r="A17" s="264" t="s">
        <v>215</v>
      </c>
      <c r="B17" s="265"/>
      <c r="C17" s="265"/>
      <c r="D17" s="266"/>
      <c r="E17" s="68">
        <v>26</v>
      </c>
      <c r="F17" s="50"/>
      <c r="G17" s="146"/>
    </row>
    <row r="18" spans="1:10" ht="60.6" customHeight="1" thickBot="1">
      <c r="A18" s="267" t="s">
        <v>216</v>
      </c>
      <c r="B18" s="268"/>
      <c r="C18" s="268"/>
      <c r="D18" s="269"/>
      <c r="E18" s="71">
        <v>27</v>
      </c>
      <c r="F18" s="133">
        <f>F19+F20+F21+F22+F23</f>
        <v>26000</v>
      </c>
      <c r="G18" s="151"/>
      <c r="H18" s="122"/>
      <c r="I18" s="122"/>
      <c r="J18" s="122"/>
    </row>
    <row r="19" spans="1:10" ht="22.9" customHeight="1" thickBot="1">
      <c r="A19" s="237" t="s">
        <v>217</v>
      </c>
      <c r="B19" s="238"/>
      <c r="C19" s="238"/>
      <c r="D19" s="239"/>
      <c r="E19" s="73">
        <v>28</v>
      </c>
      <c r="F19" s="135">
        <f>'სამუშაო რვეული'!G139</f>
        <v>20000</v>
      </c>
      <c r="G19" s="256"/>
      <c r="H19" s="120" t="s">
        <v>192</v>
      </c>
    </row>
    <row r="20" spans="1:10" ht="25.9" customHeight="1" thickBot="1">
      <c r="A20" s="237" t="s">
        <v>218</v>
      </c>
      <c r="B20" s="238"/>
      <c r="C20" s="238"/>
      <c r="D20" s="239"/>
      <c r="E20" s="62">
        <v>29</v>
      </c>
      <c r="F20" s="135"/>
      <c r="G20" s="257"/>
    </row>
    <row r="21" spans="1:10" ht="28.15" customHeight="1" thickBot="1">
      <c r="A21" s="237" t="s">
        <v>219</v>
      </c>
      <c r="B21" s="238"/>
      <c r="C21" s="238"/>
      <c r="D21" s="239"/>
      <c r="E21" s="62">
        <v>30</v>
      </c>
      <c r="F21" s="135"/>
      <c r="G21" s="257"/>
    </row>
    <row r="22" spans="1:10" ht="18" customHeight="1" thickBot="1">
      <c r="A22" s="237" t="s">
        <v>37</v>
      </c>
      <c r="B22" s="238"/>
      <c r="C22" s="238"/>
      <c r="D22" s="239"/>
      <c r="E22" s="74">
        <v>31</v>
      </c>
      <c r="F22" s="135"/>
      <c r="G22" s="257"/>
    </row>
    <row r="23" spans="1:10" ht="19.899999999999999" customHeight="1" thickBot="1">
      <c r="A23" s="237" t="s">
        <v>220</v>
      </c>
      <c r="B23" s="238"/>
      <c r="C23" s="238"/>
      <c r="D23" s="239"/>
      <c r="E23" s="71">
        <v>32</v>
      </c>
      <c r="F23" s="135">
        <f>'სამუშაო რვეული'!G120+'სამუშაო რვეული'!G137</f>
        <v>6000</v>
      </c>
      <c r="G23" s="257"/>
      <c r="H23" s="120" t="s">
        <v>175</v>
      </c>
    </row>
    <row r="24" spans="1:10" ht="60.6" customHeight="1" thickBot="1">
      <c r="A24" s="304" t="s">
        <v>221</v>
      </c>
      <c r="B24" s="305"/>
      <c r="C24" s="305"/>
      <c r="D24" s="306"/>
      <c r="E24" s="75">
        <v>33</v>
      </c>
      <c r="F24" s="131">
        <f>F29</f>
        <v>6000</v>
      </c>
      <c r="G24" s="152"/>
    </row>
    <row r="25" spans="1:10" ht="22.9" customHeight="1" thickBot="1">
      <c r="A25" s="240" t="s">
        <v>222</v>
      </c>
      <c r="B25" s="241"/>
      <c r="C25" s="241"/>
      <c r="D25" s="242"/>
      <c r="E25" s="74">
        <v>34</v>
      </c>
      <c r="F25" s="135"/>
      <c r="G25" s="307"/>
    </row>
    <row r="26" spans="1:10" ht="33.6" customHeight="1" thickBot="1">
      <c r="A26" s="240" t="s">
        <v>223</v>
      </c>
      <c r="B26" s="241"/>
      <c r="C26" s="241"/>
      <c r="D26" s="242"/>
      <c r="E26" s="62">
        <v>35</v>
      </c>
      <c r="F26" s="135"/>
      <c r="G26" s="308"/>
    </row>
    <row r="27" spans="1:10" ht="17.45" customHeight="1" thickBot="1">
      <c r="A27" s="237" t="s">
        <v>36</v>
      </c>
      <c r="B27" s="238"/>
      <c r="C27" s="238"/>
      <c r="D27" s="239"/>
      <c r="E27" s="74">
        <v>36</v>
      </c>
      <c r="F27" s="135"/>
      <c r="G27" s="308"/>
    </row>
    <row r="28" spans="1:10" ht="18.600000000000001" customHeight="1" thickBot="1">
      <c r="A28" s="237" t="s">
        <v>38</v>
      </c>
      <c r="B28" s="238"/>
      <c r="C28" s="238"/>
      <c r="D28" s="239"/>
      <c r="E28" s="71">
        <v>37</v>
      </c>
      <c r="F28" s="136"/>
      <c r="G28" s="309"/>
    </row>
    <row r="29" spans="1:10" ht="19.899999999999999" customHeight="1" thickBot="1">
      <c r="A29" s="240" t="s">
        <v>190</v>
      </c>
      <c r="B29" s="241"/>
      <c r="C29" s="241"/>
      <c r="D29" s="242"/>
      <c r="E29" s="73">
        <v>38</v>
      </c>
      <c r="F29" s="137">
        <f>'სამუშაო რვეული'!G120+'სამუშაო რვეული'!G137</f>
        <v>6000</v>
      </c>
      <c r="G29" s="119">
        <f>'სამუშაო რვეული'!G121+'სამუშაო რვეული'!G138</f>
        <v>900</v>
      </c>
      <c r="H29" s="120" t="s">
        <v>175</v>
      </c>
    </row>
    <row r="30" spans="1:10" ht="41.45" customHeight="1" thickBot="1">
      <c r="A30" s="310" t="s">
        <v>224</v>
      </c>
      <c r="B30" s="311"/>
      <c r="C30" s="311"/>
      <c r="D30" s="312"/>
      <c r="E30" s="64">
        <v>39</v>
      </c>
      <c r="F30" s="138"/>
      <c r="G30" s="153">
        <f>G8+G9+G10+G11+G12+G14+G25+G29</f>
        <v>11391.976666666666</v>
      </c>
    </row>
    <row r="31" spans="1:10" ht="51.6" customHeight="1" thickBot="1">
      <c r="A31" s="267" t="s">
        <v>225</v>
      </c>
      <c r="B31" s="268"/>
      <c r="C31" s="268"/>
      <c r="D31" s="269"/>
      <c r="E31" s="76">
        <v>40</v>
      </c>
      <c r="F31" s="131">
        <f>F32+F33+F34+F35+F36+F37+F38</f>
        <v>128277.77777777778</v>
      </c>
      <c r="G31" s="146"/>
    </row>
    <row r="32" spans="1:10" ht="21" customHeight="1" thickBot="1">
      <c r="A32" s="237" t="s">
        <v>217</v>
      </c>
      <c r="B32" s="238"/>
      <c r="C32" s="238"/>
      <c r="D32" s="239"/>
      <c r="E32" s="77">
        <v>41</v>
      </c>
      <c r="F32" s="135">
        <f>'სამუშაო რვეული'!G141</f>
        <v>10000</v>
      </c>
      <c r="G32" s="151"/>
      <c r="H32" s="120" t="s">
        <v>192</v>
      </c>
    </row>
    <row r="33" spans="1:10" ht="19.149999999999999" customHeight="1" thickBot="1">
      <c r="A33" s="237" t="s">
        <v>226</v>
      </c>
      <c r="B33" s="238"/>
      <c r="C33" s="238"/>
      <c r="D33" s="239"/>
      <c r="E33" s="78">
        <v>42</v>
      </c>
      <c r="F33" s="135">
        <f>'სამუშაო რვეული'!G146+'სამუშაო რვეული'!G151</f>
        <v>21666.666666666668</v>
      </c>
      <c r="G33" s="152"/>
      <c r="H33" s="120" t="s">
        <v>203</v>
      </c>
    </row>
    <row r="34" spans="1:10" ht="18" customHeight="1" thickBot="1">
      <c r="A34" s="237" t="s">
        <v>219</v>
      </c>
      <c r="B34" s="238"/>
      <c r="C34" s="238"/>
      <c r="D34" s="239"/>
      <c r="E34" s="79">
        <v>43</v>
      </c>
      <c r="F34" s="135">
        <f>'სამუშაო რვეული'!G156</f>
        <v>8500</v>
      </c>
      <c r="G34" s="152"/>
      <c r="H34" s="120" t="s">
        <v>236</v>
      </c>
    </row>
    <row r="35" spans="1:10" ht="19.149999999999999" customHeight="1" thickBot="1">
      <c r="A35" s="237" t="s">
        <v>191</v>
      </c>
      <c r="B35" s="238"/>
      <c r="C35" s="238"/>
      <c r="D35" s="239"/>
      <c r="E35" s="63">
        <v>44</v>
      </c>
      <c r="F35" s="135">
        <f>'სამუშაო რვეული'!G172</f>
        <v>11111.111111111111</v>
      </c>
      <c r="G35" s="152"/>
      <c r="H35" s="120" t="s">
        <v>240</v>
      </c>
    </row>
    <row r="36" spans="1:10" ht="18" customHeight="1" thickBot="1">
      <c r="A36" s="237" t="s">
        <v>227</v>
      </c>
      <c r="B36" s="238"/>
      <c r="C36" s="238"/>
      <c r="D36" s="239"/>
      <c r="E36" s="80">
        <v>45</v>
      </c>
      <c r="F36" s="135"/>
      <c r="G36" s="152"/>
    </row>
    <row r="37" spans="1:10" ht="18.600000000000001" customHeight="1" thickBot="1">
      <c r="A37" s="240" t="s">
        <v>228</v>
      </c>
      <c r="B37" s="241"/>
      <c r="C37" s="241"/>
      <c r="D37" s="242"/>
      <c r="E37" s="79">
        <v>46</v>
      </c>
      <c r="F37" s="139">
        <f>'სამუშაო რვეული'!G107+'სამუშაო რვეული'!G109</f>
        <v>50000</v>
      </c>
      <c r="G37" s="150"/>
      <c r="H37" s="120" t="s">
        <v>174</v>
      </c>
    </row>
    <row r="38" spans="1:10" ht="18.600000000000001" customHeight="1" thickBot="1">
      <c r="A38" s="240" t="s">
        <v>229</v>
      </c>
      <c r="B38" s="241"/>
      <c r="C38" s="241"/>
      <c r="D38" s="242"/>
      <c r="E38" s="81">
        <v>47</v>
      </c>
      <c r="F38" s="50">
        <f>'სამუშაო რვეული'!G124+'სამუშაო რვეული'!G161</f>
        <v>27000</v>
      </c>
      <c r="G38" s="146"/>
      <c r="H38" s="120" t="s">
        <v>237</v>
      </c>
    </row>
    <row r="39" spans="1:10" ht="53.45" customHeight="1">
      <c r="A39" s="314" t="s">
        <v>230</v>
      </c>
      <c r="B39" s="315"/>
      <c r="C39" s="315"/>
      <c r="D39" s="316"/>
      <c r="E39" s="82">
        <v>48</v>
      </c>
      <c r="F39" s="131">
        <f>F40+F41+F42+F43+F44+F45+F46</f>
        <v>113277.77777777778</v>
      </c>
      <c r="G39" s="152"/>
    </row>
    <row r="40" spans="1:10" ht="23.45" customHeight="1">
      <c r="A40" s="249" t="s">
        <v>199</v>
      </c>
      <c r="B40" s="249"/>
      <c r="C40" s="249"/>
      <c r="D40" s="249"/>
      <c r="E40" s="117">
        <v>49</v>
      </c>
      <c r="F40" s="140">
        <f>'სამუშაო რვეული'!G141</f>
        <v>10000</v>
      </c>
      <c r="G40" s="154">
        <f>'სამუშაო რვეული'!G142</f>
        <v>500</v>
      </c>
      <c r="H40" s="120" t="s">
        <v>192</v>
      </c>
    </row>
    <row r="41" spans="1:10" ht="23.45" customHeight="1">
      <c r="A41" s="249" t="s">
        <v>202</v>
      </c>
      <c r="B41" s="249"/>
      <c r="C41" s="249"/>
      <c r="D41" s="249"/>
      <c r="E41" s="117">
        <v>50</v>
      </c>
      <c r="F41" s="141">
        <f>'სამუშაო რვეული'!G146+'სამუშაო რვეული'!G151</f>
        <v>21666.666666666668</v>
      </c>
      <c r="G41" s="155">
        <f>'სამუშაო რვეული'!G147+'სამუშაო რვეული'!G152</f>
        <v>2166.666666666667</v>
      </c>
      <c r="H41" s="120" t="s">
        <v>203</v>
      </c>
    </row>
    <row r="42" spans="1:10">
      <c r="A42" s="249" t="s">
        <v>200</v>
      </c>
      <c r="B42" s="249"/>
      <c r="C42" s="249"/>
      <c r="D42" s="249"/>
      <c r="E42" s="117">
        <v>51</v>
      </c>
      <c r="F42" s="142">
        <f>'სამუშაო რვეული'!G156</f>
        <v>8500</v>
      </c>
      <c r="G42" s="156">
        <f>'სამუშაო რვეული'!G157</f>
        <v>340</v>
      </c>
      <c r="H42" s="120" t="s">
        <v>236</v>
      </c>
    </row>
    <row r="43" spans="1:10" ht="15" customHeight="1">
      <c r="A43" s="249" t="s">
        <v>201</v>
      </c>
      <c r="B43" s="249"/>
      <c r="C43" s="249"/>
      <c r="D43" s="249"/>
      <c r="E43" s="117">
        <v>52</v>
      </c>
      <c r="F43" s="143">
        <f>'სამუშაო რვეული'!G172</f>
        <v>11111.111111111111</v>
      </c>
      <c r="G43" s="157">
        <f>F43*10%</f>
        <v>1111.1111111111111</v>
      </c>
      <c r="H43" s="120" t="s">
        <v>240</v>
      </c>
    </row>
    <row r="44" spans="1:10" ht="16.899999999999999" customHeight="1" thickBot="1">
      <c r="A44" s="250" t="s">
        <v>231</v>
      </c>
      <c r="B44" s="251"/>
      <c r="C44" s="251"/>
      <c r="D44" s="252"/>
      <c r="E44" s="83">
        <v>53</v>
      </c>
      <c r="F44" s="135"/>
      <c r="G44" s="147"/>
    </row>
    <row r="45" spans="1:10" ht="16.149999999999999" customHeight="1" thickBot="1">
      <c r="A45" s="240" t="s">
        <v>228</v>
      </c>
      <c r="B45" s="241"/>
      <c r="C45" s="241"/>
      <c r="D45" s="242"/>
      <c r="E45" s="79">
        <v>54</v>
      </c>
      <c r="F45" s="139">
        <f>'სამუშაო რვეული'!G107+'სამუშაო რვეული'!G109</f>
        <v>50000</v>
      </c>
      <c r="G45" s="148">
        <f>'სამუშაო რვეული'!G108+'სამუშაო რვეული'!G110</f>
        <v>2500</v>
      </c>
      <c r="H45" s="120" t="s">
        <v>174</v>
      </c>
    </row>
    <row r="46" spans="1:10" ht="25.5" customHeight="1" thickBot="1">
      <c r="A46" s="240" t="s">
        <v>229</v>
      </c>
      <c r="B46" s="241"/>
      <c r="C46" s="241"/>
      <c r="D46" s="242"/>
      <c r="E46" s="81">
        <v>55</v>
      </c>
      <c r="F46" s="144">
        <f>'სამუშაო რვეული'!G124</f>
        <v>12000</v>
      </c>
      <c r="G46" s="158">
        <f>'სამუშაო რვეული'!G125</f>
        <v>600</v>
      </c>
      <c r="H46" s="120" t="s">
        <v>287</v>
      </c>
    </row>
    <row r="47" spans="1:10" ht="54" customHeight="1" thickBot="1">
      <c r="A47" s="243" t="s">
        <v>39</v>
      </c>
      <c r="B47" s="244"/>
      <c r="C47" s="244"/>
      <c r="D47" s="245"/>
      <c r="E47" s="75">
        <v>56</v>
      </c>
      <c r="F47" s="145"/>
      <c r="G47" s="148">
        <f>SUM(G40:G46)</f>
        <v>7217.7777777777783</v>
      </c>
      <c r="H47" s="122"/>
      <c r="I47" s="122"/>
      <c r="J47" s="122"/>
    </row>
    <row r="48" spans="1:10" ht="33.6" customHeight="1" thickBot="1">
      <c r="A48" s="246" t="s">
        <v>34</v>
      </c>
      <c r="B48" s="247"/>
      <c r="C48" s="247"/>
      <c r="D48" s="248"/>
      <c r="E48" s="84">
        <v>57</v>
      </c>
      <c r="F48" s="138"/>
      <c r="G48" s="158">
        <f>G30+G47</f>
        <v>18609.754444444443</v>
      </c>
    </row>
    <row r="49" spans="1:10">
      <c r="A49" s="67"/>
      <c r="B49" s="67"/>
      <c r="C49" s="60"/>
      <c r="D49" s="67"/>
    </row>
    <row r="50" spans="1:10" ht="19.149999999999999" customHeight="1" thickBot="1">
      <c r="A50" s="59"/>
      <c r="B50" s="313" t="s">
        <v>232</v>
      </c>
      <c r="C50" s="313"/>
      <c r="D50" s="313"/>
    </row>
    <row r="51" spans="1:10" ht="15.75" customHeight="1" thickBot="1">
      <c r="A51" s="214" t="s">
        <v>298</v>
      </c>
      <c r="B51" s="215"/>
      <c r="C51" s="215"/>
      <c r="D51" s="216"/>
      <c r="E51" s="85">
        <v>58</v>
      </c>
      <c r="F51" s="271">
        <v>1285000</v>
      </c>
      <c r="G51" s="272"/>
    </row>
    <row r="52" spans="1:10" ht="15.75" customHeight="1" thickBot="1">
      <c r="A52" s="214" t="s">
        <v>299</v>
      </c>
      <c r="B52" s="215"/>
      <c r="C52" s="215"/>
      <c r="D52" s="216"/>
      <c r="E52" s="86">
        <v>59</v>
      </c>
      <c r="F52" s="273" t="s">
        <v>44</v>
      </c>
      <c r="G52" s="274"/>
    </row>
    <row r="53" spans="1:10" ht="28.15" customHeight="1" thickBot="1">
      <c r="A53" s="220" t="s">
        <v>300</v>
      </c>
      <c r="B53" s="221"/>
      <c r="C53" s="221"/>
      <c r="D53" s="222"/>
      <c r="E53" s="86">
        <v>60</v>
      </c>
      <c r="F53" s="273">
        <v>50000</v>
      </c>
      <c r="G53" s="274"/>
    </row>
    <row r="54" spans="1:10" ht="30.75" customHeight="1" thickBot="1">
      <c r="A54" s="234" t="s">
        <v>40</v>
      </c>
      <c r="B54" s="235"/>
      <c r="C54" s="235"/>
      <c r="D54" s="236"/>
      <c r="E54" s="86">
        <v>61</v>
      </c>
      <c r="F54" s="273">
        <v>7</v>
      </c>
      <c r="G54" s="274"/>
    </row>
    <row r="55" spans="1:10" ht="28.5" customHeight="1" thickBot="1">
      <c r="A55" s="223" t="s">
        <v>301</v>
      </c>
      <c r="B55" s="224"/>
      <c r="C55" s="224"/>
      <c r="D55" s="225"/>
      <c r="E55" s="86">
        <v>62</v>
      </c>
      <c r="F55" s="273">
        <f>'სამუშაო რვეული'!G217+'სამუშაო რვეული'!G238</f>
        <v>1450</v>
      </c>
      <c r="G55" s="274"/>
      <c r="H55" s="120" t="s">
        <v>250</v>
      </c>
    </row>
    <row r="56" spans="1:10" ht="21" customHeight="1" thickBot="1">
      <c r="A56" s="226" t="s">
        <v>295</v>
      </c>
      <c r="B56" s="227"/>
      <c r="C56" s="227"/>
      <c r="D56" s="228"/>
      <c r="E56" s="86">
        <v>63</v>
      </c>
      <c r="F56" s="273">
        <v>183000</v>
      </c>
      <c r="G56" s="274"/>
    </row>
    <row r="57" spans="1:10" ht="15.75" customHeight="1" thickBot="1">
      <c r="A57" s="253" t="s">
        <v>41</v>
      </c>
      <c r="B57" s="254"/>
      <c r="C57" s="254"/>
      <c r="D57" s="255"/>
      <c r="E57" s="86">
        <v>64</v>
      </c>
      <c r="F57" s="273">
        <v>102000</v>
      </c>
      <c r="G57" s="274"/>
    </row>
    <row r="58" spans="1:10" ht="13.9" customHeight="1" thickBot="1">
      <c r="A58" s="214" t="s">
        <v>302</v>
      </c>
      <c r="B58" s="215"/>
      <c r="C58" s="215"/>
      <c r="D58" s="216"/>
      <c r="E58" s="86">
        <v>65</v>
      </c>
      <c r="F58" s="273"/>
      <c r="G58" s="274"/>
    </row>
    <row r="59" spans="1:10" ht="15.75" customHeight="1" thickBot="1">
      <c r="A59" s="214" t="s">
        <v>303</v>
      </c>
      <c r="B59" s="215"/>
      <c r="C59" s="215"/>
      <c r="D59" s="216"/>
      <c r="E59" s="86">
        <v>66</v>
      </c>
      <c r="F59" s="273"/>
      <c r="G59" s="274"/>
    </row>
    <row r="60" spans="1:10" ht="15.75" customHeight="1" thickBot="1">
      <c r="A60" s="217" t="s">
        <v>304</v>
      </c>
      <c r="B60" s="218"/>
      <c r="C60" s="218"/>
      <c r="D60" s="219"/>
      <c r="E60" s="176">
        <v>67</v>
      </c>
      <c r="F60" s="317">
        <f>22225</f>
        <v>22225</v>
      </c>
      <c r="G60" s="318"/>
    </row>
    <row r="61" spans="1:10" ht="42" customHeight="1" thickBot="1">
      <c r="A61" s="229" t="s">
        <v>296</v>
      </c>
      <c r="B61" s="230"/>
      <c r="C61" s="230"/>
      <c r="D61" s="230"/>
      <c r="E61" s="177">
        <v>68</v>
      </c>
      <c r="F61" s="210">
        <v>110500</v>
      </c>
      <c r="G61" s="211"/>
    </row>
    <row r="62" spans="1:10" ht="28.5" customHeight="1" thickBot="1">
      <c r="A62" s="231" t="s">
        <v>297</v>
      </c>
      <c r="B62" s="232"/>
      <c r="C62" s="232"/>
      <c r="D62" s="233"/>
      <c r="E62" s="178">
        <v>69</v>
      </c>
      <c r="F62" s="212">
        <v>2</v>
      </c>
      <c r="G62" s="213"/>
      <c r="H62" s="179"/>
      <c r="I62" s="179"/>
      <c r="J62" s="179"/>
    </row>
    <row r="63" spans="1:10" ht="15.75" customHeight="1">
      <c r="A63" s="173"/>
      <c r="B63" s="173"/>
      <c r="C63" s="173"/>
      <c r="D63" s="173"/>
      <c r="E63" s="174"/>
      <c r="F63" s="175"/>
      <c r="G63" s="175"/>
    </row>
    <row r="64" spans="1:10" ht="15.75" customHeight="1">
      <c r="A64" s="173"/>
      <c r="B64" s="173"/>
      <c r="C64" s="173"/>
      <c r="D64" s="173"/>
      <c r="E64" s="174"/>
      <c r="F64" s="175"/>
      <c r="G64" s="175"/>
    </row>
    <row r="65" spans="1:10" ht="15.75" customHeight="1">
      <c r="A65" s="173"/>
      <c r="B65" s="173"/>
      <c r="C65" s="173"/>
      <c r="D65" s="173"/>
      <c r="E65" s="174"/>
      <c r="F65" s="175"/>
      <c r="G65" s="175"/>
    </row>
    <row r="66" spans="1:10" ht="15.75" customHeight="1">
      <c r="A66" s="173"/>
      <c r="B66" s="173"/>
      <c r="C66" s="173"/>
      <c r="D66" s="173"/>
      <c r="E66" s="174"/>
      <c r="F66" s="175"/>
      <c r="G66" s="175"/>
    </row>
    <row r="67" spans="1:10" ht="15.75" customHeight="1">
      <c r="A67" s="173"/>
      <c r="B67" s="173"/>
      <c r="C67" s="173"/>
      <c r="D67" s="173"/>
      <c r="E67" s="174"/>
      <c r="F67" s="175"/>
      <c r="G67" s="175"/>
    </row>
    <row r="68" spans="1:10" ht="40.5" customHeight="1">
      <c r="A68" s="173"/>
      <c r="B68" s="173"/>
      <c r="C68" s="173"/>
      <c r="D68" s="173"/>
      <c r="E68" s="174"/>
      <c r="F68" s="175"/>
      <c r="G68" s="175"/>
    </row>
    <row r="69" spans="1:10" ht="15.75" customHeight="1">
      <c r="A69" s="173"/>
      <c r="B69" s="173"/>
      <c r="C69" s="173"/>
      <c r="D69" s="173"/>
      <c r="E69" s="174"/>
      <c r="F69" s="175"/>
      <c r="G69" s="175"/>
    </row>
    <row r="70" spans="1:10" ht="15.75" customHeight="1">
      <c r="A70" s="173"/>
      <c r="B70" s="173"/>
      <c r="C70" s="173"/>
      <c r="D70" s="173"/>
      <c r="E70" s="174"/>
      <c r="F70" s="175"/>
      <c r="G70" s="175"/>
    </row>
    <row r="71" spans="1:10" hidden="1">
      <c r="A71" s="120"/>
      <c r="C71"/>
      <c r="E71"/>
      <c r="F71"/>
      <c r="G71"/>
      <c r="H71"/>
      <c r="I71"/>
      <c r="J71"/>
    </row>
  </sheetData>
  <mergeCells count="72">
    <mergeCell ref="F60:G60"/>
    <mergeCell ref="A51:D51"/>
    <mergeCell ref="B50:D50"/>
    <mergeCell ref="A39:D39"/>
    <mergeCell ref="A34:D34"/>
    <mergeCell ref="F56:G56"/>
    <mergeCell ref="A3:D3"/>
    <mergeCell ref="F51:G51"/>
    <mergeCell ref="F52:G52"/>
    <mergeCell ref="F53:G53"/>
    <mergeCell ref="F54:G54"/>
    <mergeCell ref="A8:D8"/>
    <mergeCell ref="A6:D6"/>
    <mergeCell ref="A35:D35"/>
    <mergeCell ref="A12:D12"/>
    <mergeCell ref="A13:D13"/>
    <mergeCell ref="A14:D14"/>
    <mergeCell ref="A4:E5"/>
    <mergeCell ref="G4:G5"/>
    <mergeCell ref="A10:C11"/>
    <mergeCell ref="A7:D7"/>
    <mergeCell ref="A9:D9"/>
    <mergeCell ref="A15:D15"/>
    <mergeCell ref="A16:D16"/>
    <mergeCell ref="A17:D17"/>
    <mergeCell ref="A18:D18"/>
    <mergeCell ref="A22:D22"/>
    <mergeCell ref="A52:D52"/>
    <mergeCell ref="A19:D19"/>
    <mergeCell ref="A20:D20"/>
    <mergeCell ref="A21:D21"/>
    <mergeCell ref="G19:G23"/>
    <mergeCell ref="A23:D23"/>
    <mergeCell ref="A25:D25"/>
    <mergeCell ref="A45:D45"/>
    <mergeCell ref="A46:D46"/>
    <mergeCell ref="A24:D24"/>
    <mergeCell ref="A26:D26"/>
    <mergeCell ref="A27:D27"/>
    <mergeCell ref="G25:G28"/>
    <mergeCell ref="A41:D41"/>
    <mergeCell ref="A38:D38"/>
    <mergeCell ref="A30:D30"/>
    <mergeCell ref="A48:D48"/>
    <mergeCell ref="A40:D40"/>
    <mergeCell ref="A42:D42"/>
    <mergeCell ref="A43:D43"/>
    <mergeCell ref="A44:D44"/>
    <mergeCell ref="A28:D28"/>
    <mergeCell ref="A29:D29"/>
    <mergeCell ref="A36:D36"/>
    <mergeCell ref="A37:D37"/>
    <mergeCell ref="A47:D47"/>
    <mergeCell ref="A32:D32"/>
    <mergeCell ref="A33:D33"/>
    <mergeCell ref="A31:D31"/>
    <mergeCell ref="F61:G61"/>
    <mergeCell ref="F62:G62"/>
    <mergeCell ref="A59:D59"/>
    <mergeCell ref="A60:D60"/>
    <mergeCell ref="A53:D53"/>
    <mergeCell ref="A55:D55"/>
    <mergeCell ref="A56:D56"/>
    <mergeCell ref="A61:D61"/>
    <mergeCell ref="A62:D62"/>
    <mergeCell ref="A58:D58"/>
    <mergeCell ref="A54:D54"/>
    <mergeCell ref="A57:D57"/>
    <mergeCell ref="F55:G55"/>
    <mergeCell ref="F57:G57"/>
    <mergeCell ref="F58:G58"/>
    <mergeCell ref="F59:G59"/>
  </mergeCells>
  <printOptions horizontalCentered="1"/>
  <pageMargins left="0" right="0.19685039370078741" top="0.23622047244094491" bottom="0.23622047244094491" header="0.31496062992125984" footer="0.31496062992125984"/>
  <pageSetup paperSize="9" scale="85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7" name="Control 1">
          <controlPr defaultSize="0" r:id="rId5">
            <anchor moveWithCells="1">
              <from>
                <xdr:col>10</xdr:col>
                <xdr:colOff>0</xdr:colOff>
                <xdr:row>34</xdr:row>
                <xdr:rowOff>0</xdr:rowOff>
              </from>
              <to>
                <xdr:col>11</xdr:col>
                <xdr:colOff>304800</xdr:colOff>
                <xdr:row>34</xdr:row>
                <xdr:rowOff>228600</xdr:rowOff>
              </to>
            </anchor>
          </controlPr>
        </control>
      </mc:Choice>
      <mc:Fallback>
        <control shapeId="1025" r:id="rId7" name="Control 1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0</xdr:col>
                <xdr:colOff>0</xdr:colOff>
                <xdr:row>71</xdr:row>
                <xdr:rowOff>0</xdr:rowOff>
              </from>
              <to>
                <xdr:col>1</xdr:col>
                <xdr:colOff>171450</xdr:colOff>
                <xdr:row>72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ხელფასის უწყისი</vt:lpstr>
      <vt:lpstr>სხვა განაცემები</vt:lpstr>
      <vt:lpstr>სამუშაო რვეული</vt:lpstr>
      <vt:lpstr>დეკლარაცია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Ella</cp:lastModifiedBy>
  <cp:lastPrinted>2022-04-19T08:36:58Z</cp:lastPrinted>
  <dcterms:created xsi:type="dcterms:W3CDTF">2021-04-06T06:36:19Z</dcterms:created>
  <dcterms:modified xsi:type="dcterms:W3CDTF">2023-12-15T07:28:00Z</dcterms:modified>
</cp:coreProperties>
</file>